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027701\Desktop\"/>
    </mc:Choice>
  </mc:AlternateContent>
  <xr:revisionPtr revIDLastSave="0" documentId="13_ncr:1_{02065D00-B7F1-4263-8B44-578608C9F70E}" xr6:coauthVersionLast="36" xr6:coauthVersionMax="36" xr10:uidLastSave="{00000000-0000-0000-0000-000000000000}"/>
  <bookViews>
    <workbookView xWindow="0" yWindow="0" windowWidth="21570" windowHeight="9090" xr2:uid="{00000000-000D-0000-FFFF-FFFF00000000}"/>
  </bookViews>
  <sheets>
    <sheet name="Archer FAR91.103" sheetId="1" r:id="rId1"/>
    <sheet name="Archer Seed Data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1" l="1"/>
  <c r="F11" i="1"/>
  <c r="B11" i="1" s="1"/>
  <c r="B12" i="1" s="1"/>
  <c r="F9" i="1" s="1"/>
  <c r="D11" i="1"/>
  <c r="F10" i="1"/>
  <c r="B9" i="1"/>
  <c r="G67" i="1"/>
  <c r="D17" i="1"/>
  <c r="F17" i="1"/>
  <c r="B17" i="1" s="1"/>
  <c r="B18" i="1" s="1"/>
  <c r="F15" i="1" s="1"/>
  <c r="E54" i="1"/>
  <c r="G54" i="1" s="1"/>
  <c r="B52" i="1"/>
  <c r="E52" i="1" s="1"/>
  <c r="E56" i="1" s="1"/>
  <c r="B54" i="1"/>
  <c r="D50" i="1"/>
  <c r="G50" i="1" s="1"/>
  <c r="D49" i="1"/>
  <c r="G49" i="1" s="1"/>
  <c r="D48" i="1"/>
  <c r="F54" i="1"/>
  <c r="G55" i="1"/>
  <c r="D23" i="1"/>
  <c r="F16" i="1"/>
  <c r="D18" i="1"/>
  <c r="F25" i="1"/>
  <c r="F24" i="1"/>
  <c r="D25" i="1"/>
  <c r="D24" i="1"/>
  <c r="D26" i="1"/>
  <c r="G25" i="1"/>
  <c r="G24" i="1"/>
  <c r="B15" i="1"/>
  <c r="D55" i="1"/>
  <c r="F31" i="1"/>
  <c r="E47" i="1"/>
  <c r="F47" i="1"/>
  <c r="E48" i="1"/>
  <c r="F48" i="1"/>
  <c r="E49" i="1"/>
  <c r="F49" i="1"/>
  <c r="E50" i="1"/>
  <c r="F50" i="1"/>
  <c r="G47" i="1"/>
  <c r="F18" i="1"/>
  <c r="A19" i="1" s="1"/>
  <c r="D52" i="1" l="1"/>
  <c r="D56" i="1" s="1"/>
  <c r="B56" i="1"/>
  <c r="A57" i="1" s="1"/>
  <c r="G48" i="1"/>
  <c r="D54" i="1"/>
  <c r="F12" i="1"/>
  <c r="A13" i="1" s="1"/>
  <c r="B28" i="1"/>
  <c r="D28" i="1" s="1"/>
  <c r="D19" i="1"/>
  <c r="D13" i="1"/>
  <c r="C52" i="1" l="1"/>
  <c r="F52" i="1" s="1"/>
  <c r="G52" i="1"/>
  <c r="G56" i="1" s="1"/>
  <c r="F56" i="1" s="1"/>
  <c r="E57" i="1" s="1"/>
  <c r="C56" i="1"/>
  <c r="B27" i="1"/>
  <c r="D27" i="1" s="1"/>
</calcChain>
</file>

<file path=xl/sharedStrings.xml><?xml version="1.0" encoding="utf-8"?>
<sst xmlns="http://schemas.openxmlformats.org/spreadsheetml/2006/main" count="134" uniqueCount="101">
  <si>
    <t>Takeoff Distance</t>
  </si>
  <si>
    <t>Landing Distance</t>
  </si>
  <si>
    <t>Fuel on Board</t>
  </si>
  <si>
    <t>Fuel Burn Per hour</t>
  </si>
  <si>
    <t>Fuel Time Onboard</t>
  </si>
  <si>
    <t>Fuel Required</t>
  </si>
  <si>
    <t>VMCA</t>
  </si>
  <si>
    <t>V1</t>
  </si>
  <si>
    <t>Vr</t>
  </si>
  <si>
    <t>Vlof</t>
  </si>
  <si>
    <t>V2</t>
  </si>
  <si>
    <t>Vx</t>
  </si>
  <si>
    <t>Vy</t>
  </si>
  <si>
    <t>Vref</t>
  </si>
  <si>
    <t>Vnorm</t>
  </si>
  <si>
    <t>Vobst</t>
  </si>
  <si>
    <t>Vso</t>
  </si>
  <si>
    <t>Vs1</t>
  </si>
  <si>
    <t>Vl/d</t>
  </si>
  <si>
    <t>Vlo</t>
  </si>
  <si>
    <t>Vle</t>
  </si>
  <si>
    <t>Vfe</t>
  </si>
  <si>
    <t>Vno</t>
  </si>
  <si>
    <t>Vne</t>
  </si>
  <si>
    <t>Takeoff</t>
  </si>
  <si>
    <t>Landing</t>
  </si>
  <si>
    <t>Limitations</t>
  </si>
  <si>
    <t>V-Speeds</t>
  </si>
  <si>
    <t xml:space="preserve">Weight </t>
  </si>
  <si>
    <t>Arm</t>
  </si>
  <si>
    <t>Moment</t>
  </si>
  <si>
    <t>Item</t>
  </si>
  <si>
    <t>Aircraft</t>
  </si>
  <si>
    <t>Front Seats</t>
  </si>
  <si>
    <t>Rear Seats</t>
  </si>
  <si>
    <t>Baggage</t>
  </si>
  <si>
    <t>Subtotal</t>
  </si>
  <si>
    <t>Max O Fuel Wt.</t>
  </si>
  <si>
    <t>Fuel</t>
  </si>
  <si>
    <t>Total</t>
  </si>
  <si>
    <t>Max Landing</t>
  </si>
  <si>
    <t>Cg Limits Forward</t>
  </si>
  <si>
    <t>CG Limits Aft</t>
  </si>
  <si>
    <t>Cg Limits Aft</t>
  </si>
  <si>
    <t>Vxf (flaps 25)</t>
  </si>
  <si>
    <t>Max Takeoff Utility</t>
  </si>
  <si>
    <t>Max Takeoff Normal</t>
  </si>
  <si>
    <t>Flight time (Hours)</t>
  </si>
  <si>
    <t>OAT (F)</t>
  </si>
  <si>
    <t>OAT (C)</t>
  </si>
  <si>
    <t>Density Alt (ft)</t>
  </si>
  <si>
    <t>Pressure Alt (ft)</t>
  </si>
  <si>
    <t xml:space="preserve">Alt Setting </t>
  </si>
  <si>
    <t>Center of Gravity Limits</t>
  </si>
  <si>
    <t>Glide Range</t>
  </si>
  <si>
    <t>Power off, Flaps up 76 KIAS, 2550 Lbs No wind</t>
  </si>
  <si>
    <t>Cruise Altitude</t>
  </si>
  <si>
    <t>Glide Range (Nautical Miles)</t>
  </si>
  <si>
    <t>Landing Runway</t>
  </si>
  <si>
    <t>T/O Crosswind Comp</t>
  </si>
  <si>
    <t>T/O Headwind Comp.</t>
  </si>
  <si>
    <t>Land Crosswind Comp</t>
  </si>
  <si>
    <t>Land Headwind Comp.</t>
  </si>
  <si>
    <t>Land Wind Direction</t>
  </si>
  <si>
    <t>Land Velocity KTS</t>
  </si>
  <si>
    <t>T/O Wind Direction</t>
  </si>
  <si>
    <t>T/O Velocity KTS</t>
  </si>
  <si>
    <t>PA28-180 Weight and Balance Envelope (Normal)</t>
  </si>
  <si>
    <t>Moment Env</t>
  </si>
  <si>
    <t>CG Envelope</t>
  </si>
  <si>
    <t>Weight</t>
  </si>
  <si>
    <t>CG Locn</t>
  </si>
  <si>
    <t>PA28-180 Weight and Balance Envelope (Utility)</t>
  </si>
  <si>
    <t>Bag1</t>
  </si>
  <si>
    <t>Aft Pass</t>
  </si>
  <si>
    <t>Front Pass</t>
  </si>
  <si>
    <t>Fuel Allowance</t>
  </si>
  <si>
    <t>Vapor pressure</t>
  </si>
  <si>
    <t>Virtual Temp Kelvin</t>
  </si>
  <si>
    <t>Virtual Temp Rankin</t>
  </si>
  <si>
    <t>Millibars Mercury</t>
  </si>
  <si>
    <t>Dewpoint (C)</t>
  </si>
  <si>
    <t>Dewpoint (F)</t>
  </si>
  <si>
    <t>Wind Information</t>
  </si>
  <si>
    <t>Departure</t>
  </si>
  <si>
    <t>Arrival</t>
  </si>
  <si>
    <t>Takeoff Runway</t>
  </si>
  <si>
    <t>Takeoff Field Elevation</t>
  </si>
  <si>
    <t>Dewpoint Spread (F)</t>
  </si>
  <si>
    <t>Landing Field Elevation</t>
  </si>
  <si>
    <t>Takeoff Dist 50' Obst.</t>
  </si>
  <si>
    <t>Landing Dist 50' Obst.</t>
  </si>
  <si>
    <t>PIC's are ultimately responsible for all calculations, and he/she must ensure all values calculated herein are correct.</t>
  </si>
  <si>
    <t xml:space="preserve">Lee's Summit Airport 816-969-71182       LS ASOS 816-347-9807       Columbia FSS 866-223-4352 </t>
  </si>
  <si>
    <t>Fill in yellow cells and all other data will be calculated. (Some values need to be customized once, to match your specific aircraft)</t>
  </si>
  <si>
    <t>CTAF 122.8             ASOS 124.175            Coordinates N38-57.59; W094-22.30</t>
  </si>
  <si>
    <t>Terrain Altitude</t>
  </si>
  <si>
    <t>Preflight Action (FAR 91.103) for Archer N9552K PA28-181</t>
  </si>
  <si>
    <t>Weight and Balance (Useful Load 997)</t>
  </si>
  <si>
    <r>
      <rPr>
        <b/>
        <sz val="10"/>
        <color indexed="12"/>
        <rFont val="Arial"/>
        <family val="2"/>
      </rPr>
      <t>Departure</t>
    </r>
    <r>
      <rPr>
        <b/>
        <sz val="10"/>
        <rFont val="Arial"/>
        <family val="2"/>
      </rPr>
      <t xml:space="preserve"> Weather Calculations</t>
    </r>
  </si>
  <si>
    <r>
      <rPr>
        <b/>
        <sz val="10"/>
        <color indexed="12"/>
        <rFont val="Arial"/>
        <family val="2"/>
      </rPr>
      <t>Destination</t>
    </r>
    <r>
      <rPr>
        <b/>
        <sz val="10"/>
        <rFont val="Arial"/>
        <family val="2"/>
      </rPr>
      <t xml:space="preserve"> Weather Calculations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</si>
</sst>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\ \ "/>
    <numFmt numFmtId="166" formatCode="#,##0\ \ "/>
  </numFmts>
  <fonts count="16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9"/>
      <name val="Arial"/>
    </font>
    <font>
      <sz val="9"/>
      <name val="Arial"/>
    </font>
    <font>
      <sz val="10"/>
      <name val="MS Sans Serif"/>
    </font>
    <font>
      <b/>
      <sz val="10"/>
      <name val="MS Sans Serif"/>
      <family val="2"/>
    </font>
    <font>
      <sz val="10"/>
      <color indexed="63"/>
      <name val="Arial"/>
    </font>
    <font>
      <b/>
      <sz val="9"/>
      <color indexed="48"/>
      <name val="Arial"/>
      <family val="2"/>
    </font>
    <font>
      <b/>
      <sz val="8"/>
      <color indexed="8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9" fillId="0" borderId="0"/>
  </cellStyleXfs>
  <cellXfs count="180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1" xfId="0" applyNumberFormat="1" applyBorder="1"/>
    <xf numFmtId="164" fontId="0" fillId="0" borderId="1" xfId="0" applyNumberFormat="1" applyBorder="1"/>
    <xf numFmtId="164" fontId="0" fillId="2" borderId="1" xfId="0" applyNumberFormat="1" applyFill="1" applyBorder="1"/>
    <xf numFmtId="164" fontId="0" fillId="0" borderId="1" xfId="0" applyNumberFormat="1" applyFill="1" applyBorder="1"/>
    <xf numFmtId="0" fontId="0" fillId="0" borderId="5" xfId="0" applyBorder="1" applyAlignment="1">
      <alignment horizontal="center"/>
    </xf>
    <xf numFmtId="1" fontId="0" fillId="0" borderId="1" xfId="0" applyNumberFormat="1" applyFill="1" applyBorder="1"/>
    <xf numFmtId="0" fontId="0" fillId="0" borderId="0" xfId="0" applyBorder="1"/>
    <xf numFmtId="1" fontId="0" fillId="0" borderId="0" xfId="0" applyNumberFormat="1"/>
    <xf numFmtId="0" fontId="0" fillId="0" borderId="6" xfId="0" applyBorder="1" applyAlignment="1">
      <alignment horizontal="center"/>
    </xf>
    <xf numFmtId="0" fontId="0" fillId="0" borderId="0" xfId="0" applyFill="1"/>
    <xf numFmtId="1" fontId="0" fillId="0" borderId="1" xfId="0" applyNumberFormat="1" applyBorder="1"/>
    <xf numFmtId="0" fontId="8" fillId="0" borderId="7" xfId="0" applyFont="1" applyFill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9" xfId="0" applyFont="1" applyFill="1" applyBorder="1" applyAlignment="1">
      <alignment horizontal="centerContinuous"/>
    </xf>
    <xf numFmtId="0" fontId="8" fillId="0" borderId="10" xfId="0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Fill="1" applyBorder="1"/>
    <xf numFmtId="0" fontId="8" fillId="0" borderId="0" xfId="0" applyFont="1"/>
    <xf numFmtId="0" fontId="2" fillId="0" borderId="0" xfId="0" applyFont="1" applyFill="1" applyBorder="1"/>
    <xf numFmtId="0" fontId="7" fillId="2" borderId="16" xfId="0" applyFont="1" applyFill="1" applyBorder="1" applyAlignment="1">
      <alignment horizontal="left"/>
    </xf>
    <xf numFmtId="164" fontId="8" fillId="2" borderId="15" xfId="0" applyNumberFormat="1" applyFont="1" applyFill="1" applyBorder="1"/>
    <xf numFmtId="0" fontId="8" fillId="2" borderId="15" xfId="0" applyFont="1" applyFill="1" applyBorder="1"/>
    <xf numFmtId="164" fontId="8" fillId="2" borderId="17" xfId="0" applyNumberFormat="1" applyFont="1" applyFill="1" applyBorder="1"/>
    <xf numFmtId="0" fontId="8" fillId="2" borderId="18" xfId="0" applyFont="1" applyFill="1" applyBorder="1"/>
    <xf numFmtId="0" fontId="8" fillId="2" borderId="9" xfId="0" applyFont="1" applyFill="1" applyBorder="1"/>
    <xf numFmtId="0" fontId="8" fillId="2" borderId="18" xfId="0" applyFont="1" applyFill="1" applyBorder="1" applyAlignment="1">
      <alignment horizontal="center"/>
    </xf>
    <xf numFmtId="165" fontId="8" fillId="2" borderId="11" xfId="0" applyNumberFormat="1" applyFont="1" applyFill="1" applyBorder="1"/>
    <xf numFmtId="166" fontId="8" fillId="2" borderId="12" xfId="0" applyNumberFormat="1" applyFont="1" applyFill="1" applyBorder="1" applyAlignment="1">
      <alignment horizontal="right"/>
    </xf>
    <xf numFmtId="165" fontId="8" fillId="2" borderId="19" xfId="0" applyNumberFormat="1" applyFont="1" applyFill="1" applyBorder="1"/>
    <xf numFmtId="0" fontId="9" fillId="0" borderId="0" xfId="1"/>
    <xf numFmtId="0" fontId="10" fillId="0" borderId="1" xfId="1" applyFont="1" applyBorder="1"/>
    <xf numFmtId="0" fontId="9" fillId="0" borderId="1" xfId="1" applyBorder="1"/>
    <xf numFmtId="0" fontId="9" fillId="0" borderId="1" xfId="1" applyFont="1" applyBorder="1"/>
    <xf numFmtId="165" fontId="8" fillId="3" borderId="13" xfId="0" applyNumberFormat="1" applyFont="1" applyFill="1" applyBorder="1"/>
    <xf numFmtId="166" fontId="8" fillId="3" borderId="14" xfId="0" applyNumberFormat="1" applyFont="1" applyFill="1" applyBorder="1"/>
    <xf numFmtId="165" fontId="8" fillId="3" borderId="20" xfId="0" applyNumberFormat="1" applyFont="1" applyFill="1" applyBorder="1"/>
    <xf numFmtId="166" fontId="8" fillId="3" borderId="21" xfId="0" applyNumberFormat="1" applyFont="1" applyFill="1" applyBorder="1"/>
    <xf numFmtId="0" fontId="0" fillId="0" borderId="1" xfId="0" applyFill="1" applyBorder="1"/>
    <xf numFmtId="2" fontId="0" fillId="0" borderId="0" xfId="0" applyNumberFormat="1"/>
    <xf numFmtId="1" fontId="0" fillId="0" borderId="0" xfId="0" applyNumberFormat="1" applyBorder="1"/>
    <xf numFmtId="0" fontId="0" fillId="0" borderId="0" xfId="0" applyFill="1" applyBorder="1"/>
    <xf numFmtId="2" fontId="0" fillId="0" borderId="22" xfId="0" applyNumberFormat="1" applyBorder="1"/>
    <xf numFmtId="0" fontId="0" fillId="0" borderId="23" xfId="0" applyBorder="1"/>
    <xf numFmtId="0" fontId="0" fillId="0" borderId="6" xfId="0" applyFill="1" applyBorder="1"/>
    <xf numFmtId="1" fontId="0" fillId="0" borderId="6" xfId="0" applyNumberFormat="1" applyFill="1" applyBorder="1"/>
    <xf numFmtId="0" fontId="0" fillId="0" borderId="22" xfId="0" applyFill="1" applyBorder="1"/>
    <xf numFmtId="0" fontId="0" fillId="0" borderId="22" xfId="0" applyBorder="1"/>
    <xf numFmtId="1" fontId="1" fillId="0" borderId="1" xfId="0" applyNumberFormat="1" applyFont="1" applyFill="1" applyBorder="1"/>
    <xf numFmtId="0" fontId="1" fillId="0" borderId="1" xfId="0" applyFont="1" applyBorder="1"/>
    <xf numFmtId="1" fontId="1" fillId="0" borderId="1" xfId="0" applyNumberFormat="1" applyFont="1" applyBorder="1"/>
    <xf numFmtId="2" fontId="0" fillId="0" borderId="24" xfId="0" applyNumberFormat="1" applyBorder="1"/>
    <xf numFmtId="0" fontId="4" fillId="0" borderId="23" xfId="0" applyFont="1" applyBorder="1"/>
    <xf numFmtId="2" fontId="0" fillId="0" borderId="25" xfId="0" applyNumberFormat="1" applyBorder="1"/>
    <xf numFmtId="0" fontId="1" fillId="0" borderId="24" xfId="0" applyFont="1" applyBorder="1"/>
    <xf numFmtId="0" fontId="1" fillId="0" borderId="26" xfId="0" applyFont="1" applyBorder="1"/>
    <xf numFmtId="0" fontId="1" fillId="0" borderId="27" xfId="0" applyFont="1" applyBorder="1"/>
    <xf numFmtId="164" fontId="4" fillId="0" borderId="28" xfId="0" applyNumberFormat="1" applyFont="1" applyFill="1" applyBorder="1"/>
    <xf numFmtId="164" fontId="4" fillId="0" borderId="28" xfId="0" applyNumberFormat="1" applyFont="1" applyBorder="1"/>
    <xf numFmtId="2" fontId="0" fillId="0" borderId="0" xfId="0" applyNumberFormat="1" applyBorder="1"/>
    <xf numFmtId="2" fontId="11" fillId="0" borderId="1" xfId="0" applyNumberFormat="1" applyFont="1" applyBorder="1"/>
    <xf numFmtId="0" fontId="6" fillId="0" borderId="0" xfId="0" applyFont="1" applyFill="1" applyBorder="1" applyAlignment="1">
      <alignment horizontal="center"/>
    </xf>
    <xf numFmtId="0" fontId="11" fillId="0" borderId="0" xfId="0" applyFont="1" applyBorder="1"/>
    <xf numFmtId="1" fontId="0" fillId="0" borderId="22" xfId="0" applyNumberFormat="1" applyBorder="1"/>
    <xf numFmtId="1" fontId="1" fillId="0" borderId="23" xfId="0" applyNumberFormat="1" applyFont="1" applyBorder="1"/>
    <xf numFmtId="0" fontId="1" fillId="0" borderId="23" xfId="0" applyFont="1" applyBorder="1"/>
    <xf numFmtId="1" fontId="0" fillId="0" borderId="25" xfId="0" applyNumberFormat="1" applyBorder="1"/>
    <xf numFmtId="0" fontId="0" fillId="0" borderId="23" xfId="0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" fillId="4" borderId="22" xfId="0" applyFont="1" applyFill="1" applyBorder="1"/>
    <xf numFmtId="0" fontId="1" fillId="4" borderId="1" xfId="0" applyFont="1" applyFill="1" applyBorder="1"/>
    <xf numFmtId="2" fontId="1" fillId="4" borderId="1" xfId="0" applyNumberFormat="1" applyFont="1" applyFill="1" applyBorder="1"/>
    <xf numFmtId="1" fontId="1" fillId="4" borderId="1" xfId="0" applyNumberFormat="1" applyFont="1" applyFill="1" applyBorder="1"/>
    <xf numFmtId="0" fontId="1" fillId="4" borderId="24" xfId="0" applyFont="1" applyFill="1" applyBorder="1"/>
    <xf numFmtId="0" fontId="1" fillId="4" borderId="29" xfId="0" applyFont="1" applyFill="1" applyBorder="1"/>
    <xf numFmtId="0" fontId="1" fillId="4" borderId="23" xfId="0" applyFont="1" applyFill="1" applyBorder="1"/>
    <xf numFmtId="164" fontId="1" fillId="4" borderId="1" xfId="0" applyNumberFormat="1" applyFont="1" applyFill="1" applyBorder="1"/>
    <xf numFmtId="0" fontId="6" fillId="0" borderId="18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0" fillId="0" borderId="18" xfId="0" applyBorder="1"/>
    <xf numFmtId="0" fontId="0" fillId="0" borderId="30" xfId="0" applyBorder="1"/>
    <xf numFmtId="0" fontId="1" fillId="0" borderId="31" xfId="0" applyFont="1" applyBorder="1"/>
    <xf numFmtId="0" fontId="1" fillId="0" borderId="32" xfId="0" applyFont="1" applyBorder="1"/>
    <xf numFmtId="0" fontId="0" fillId="0" borderId="33" xfId="0" applyBorder="1"/>
    <xf numFmtId="0" fontId="0" fillId="0" borderId="31" xfId="0" applyBorder="1"/>
    <xf numFmtId="0" fontId="4" fillId="0" borderId="30" xfId="0" applyFont="1" applyBorder="1"/>
    <xf numFmtId="0" fontId="0" fillId="0" borderId="32" xfId="0" applyBorder="1"/>
    <xf numFmtId="0" fontId="0" fillId="0" borderId="34" xfId="0" applyFill="1" applyBorder="1"/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4" fontId="0" fillId="0" borderId="22" xfId="0" applyNumberFormat="1" applyBorder="1"/>
    <xf numFmtId="0" fontId="0" fillId="2" borderId="31" xfId="0" applyFill="1" applyBorder="1"/>
    <xf numFmtId="164" fontId="0" fillId="2" borderId="22" xfId="0" applyNumberFormat="1" applyFill="1" applyBorder="1"/>
    <xf numFmtId="0" fontId="0" fillId="0" borderId="31" xfId="0" applyFill="1" applyBorder="1"/>
    <xf numFmtId="0" fontId="3" fillId="0" borderId="36" xfId="0" applyFont="1" applyBorder="1"/>
    <xf numFmtId="164" fontId="4" fillId="0" borderId="37" xfId="0" applyNumberFormat="1" applyFont="1" applyBorder="1"/>
    <xf numFmtId="0" fontId="0" fillId="0" borderId="38" xfId="0" applyBorder="1" applyAlignment="1">
      <alignment horizontal="center"/>
    </xf>
    <xf numFmtId="0" fontId="3" fillId="0" borderId="32" xfId="0" applyFont="1" applyBorder="1"/>
    <xf numFmtId="0" fontId="3" fillId="0" borderId="23" xfId="0" applyFont="1" applyBorder="1"/>
    <xf numFmtId="164" fontId="4" fillId="0" borderId="25" xfId="0" applyNumberFormat="1" applyFont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" fontId="4" fillId="0" borderId="42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5" fillId="5" borderId="39" xfId="0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5" borderId="41" xfId="0" applyFont="1" applyFill="1" applyBorder="1" applyAlignment="1">
      <alignment horizontal="center"/>
    </xf>
    <xf numFmtId="0" fontId="3" fillId="6" borderId="56" xfId="0" applyFont="1" applyFill="1" applyBorder="1" applyAlignment="1">
      <alignment horizontal="center"/>
    </xf>
    <xf numFmtId="0" fontId="3" fillId="6" borderId="60" xfId="0" applyFont="1" applyFill="1" applyBorder="1" applyAlignment="1">
      <alignment horizontal="center"/>
    </xf>
    <xf numFmtId="0" fontId="3" fillId="6" borderId="48" xfId="0" applyFont="1" applyFill="1" applyBorder="1" applyAlignment="1">
      <alignment horizontal="center"/>
    </xf>
    <xf numFmtId="0" fontId="3" fillId="6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3" fillId="2" borderId="65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/>
    </xf>
    <xf numFmtId="0" fontId="3" fillId="2" borderId="68" xfId="0" applyFont="1" applyFill="1" applyBorder="1" applyAlignment="1">
      <alignment horizontal="center"/>
    </xf>
    <xf numFmtId="0" fontId="13" fillId="4" borderId="39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3" fillId="2" borderId="69" xfId="0" applyFont="1" applyFill="1" applyBorder="1" applyAlignment="1">
      <alignment horizontal="center"/>
    </xf>
    <xf numFmtId="0" fontId="3" fillId="0" borderId="60" xfId="0" applyFont="1" applyBorder="1" applyAlignment="1">
      <alignment horizontal="center"/>
    </xf>
  </cellXfs>
  <cellStyles count="2">
    <cellStyle name="Normal" xfId="0" builtinId="0"/>
    <cellStyle name="Normal_Archer Seed Data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Loading Graph</a:t>
            </a:r>
          </a:p>
        </c:rich>
      </c:tx>
      <c:layout>
        <c:manualLayout>
          <c:xMode val="edge"/>
          <c:yMode val="edge"/>
          <c:x val="0.69195423688730195"/>
          <c:y val="0.6348128102612450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103451952971207"/>
          <c:y val="0.23890804889815834"/>
          <c:w val="0.80804620376655778"/>
          <c:h val="0.52559770757594826"/>
        </c:manualLayout>
      </c:layout>
      <c:scatterChart>
        <c:scatterStyle val="lineMarker"/>
        <c:varyColors val="0"/>
        <c:ser>
          <c:idx val="0"/>
          <c:order val="0"/>
          <c:tx>
            <c:v>Pilot and Front Passenger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'Archer Seed Data'!$C$28:$C$29</c:f>
              <c:numCache>
                <c:formatCode>General</c:formatCode>
                <c:ptCount val="2"/>
                <c:pt idx="0">
                  <c:v>0</c:v>
                </c:pt>
                <c:pt idx="1">
                  <c:v>34</c:v>
                </c:pt>
              </c:numCache>
            </c:numRef>
          </c:xVal>
          <c:yVal>
            <c:numRef>
              <c:f>'Archer Seed Data'!$D$28:$D$29</c:f>
              <c:numCache>
                <c:formatCode>General</c:formatCode>
                <c:ptCount val="2"/>
                <c:pt idx="0">
                  <c:v>0</c:v>
                </c:pt>
                <c:pt idx="1">
                  <c:v>420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A5-42D6-BADB-597E30DAA0E0}"/>
            </c:ext>
          </c:extLst>
        </c:ser>
        <c:ser>
          <c:idx val="1"/>
          <c:order val="1"/>
          <c:tx>
            <c:v>Rear Passengers</c:v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'Archer Seed Data'!$C$32:$C$33</c:f>
              <c:numCache>
                <c:formatCode>General</c:formatCode>
                <c:ptCount val="2"/>
                <c:pt idx="0">
                  <c:v>0</c:v>
                </c:pt>
                <c:pt idx="1">
                  <c:v>40</c:v>
                </c:pt>
              </c:numCache>
            </c:numRef>
          </c:xVal>
          <c:yVal>
            <c:numRef>
              <c:f>'Archer Seed Data'!$D$32:$D$33</c:f>
              <c:numCache>
                <c:formatCode>General</c:formatCode>
                <c:ptCount val="2"/>
                <c:pt idx="0">
                  <c:v>0</c:v>
                </c:pt>
                <c:pt idx="1">
                  <c:v>340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A5-42D6-BADB-597E30DAA0E0}"/>
            </c:ext>
          </c:extLst>
        </c:ser>
        <c:ser>
          <c:idx val="2"/>
          <c:order val="2"/>
          <c:tx>
            <c:v>Fuel</c:v>
          </c:tx>
          <c:spPr>
            <a:ln w="25400">
              <a:solidFill>
                <a:srgbClr val="8080FF"/>
              </a:solidFill>
              <a:prstDash val="solid"/>
            </a:ln>
          </c:spPr>
          <c:marker>
            <c:symbol val="none"/>
          </c:marker>
          <c:xVal>
            <c:numRef>
              <c:f>'Archer Seed Data'!$C$30:$C$31</c:f>
              <c:numCache>
                <c:formatCode>General</c:formatCode>
                <c:ptCount val="2"/>
                <c:pt idx="0">
                  <c:v>0</c:v>
                </c:pt>
                <c:pt idx="1">
                  <c:v>28</c:v>
                </c:pt>
              </c:numCache>
            </c:numRef>
          </c:xVal>
          <c:yVal>
            <c:numRef>
              <c:f>'Archer Seed Data'!$D$30:$D$31</c:f>
              <c:numCache>
                <c:formatCode>General</c:formatCod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3A5-42D6-BADB-597E30DAA0E0}"/>
            </c:ext>
          </c:extLst>
        </c:ser>
        <c:ser>
          <c:idx val="3"/>
          <c:order val="3"/>
          <c:tx>
            <c:v>Baggage 1</c:v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none"/>
          </c:marker>
          <c:xVal>
            <c:numRef>
              <c:f>'Archer Seed Data'!$C$34:$C$35</c:f>
              <c:numCache>
                <c:formatCode>General</c:formatCode>
                <c:ptCount val="2"/>
                <c:pt idx="0">
                  <c:v>0</c:v>
                </c:pt>
                <c:pt idx="1">
                  <c:v>28</c:v>
                </c:pt>
              </c:numCache>
            </c:numRef>
          </c:xVal>
          <c:yVal>
            <c:numRef>
              <c:f>'Archer Seed Data'!$D$34:$D$35</c:f>
              <c:numCache>
                <c:formatCode>General</c:formatCode>
                <c:ptCount val="2"/>
                <c:pt idx="0">
                  <c:v>0</c:v>
                </c:pt>
                <c:pt idx="1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3A5-42D6-BADB-597E30DAA0E0}"/>
            </c:ext>
          </c:extLst>
        </c:ser>
        <c:ser>
          <c:idx val="4"/>
          <c:order val="4"/>
          <c:tx>
            <c:v>Actual Front Pass</c:v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'Archer FAR91.103'!$D$48</c:f>
              <c:numCache>
                <c:formatCode>0.0</c:formatCode>
                <c:ptCount val="1"/>
                <c:pt idx="0">
                  <c:v>20.125</c:v>
                </c:pt>
              </c:numCache>
            </c:numRef>
          </c:xVal>
          <c:yVal>
            <c:numRef>
              <c:f>'Archer FAR91.103'!$B$48</c:f>
              <c:numCache>
                <c:formatCode>0.0</c:formatCode>
                <c:ptCount val="1"/>
                <c:pt idx="0">
                  <c:v>250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3A5-42D6-BADB-597E30DAA0E0}"/>
            </c:ext>
          </c:extLst>
        </c:ser>
        <c:ser>
          <c:idx val="5"/>
          <c:order val="5"/>
          <c:tx>
            <c:v>Actual Rear Pass</c:v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'Archer FAR91.103'!$D$49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'Archer FAR91.103'!$B$49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3A5-42D6-BADB-597E30DAA0E0}"/>
            </c:ext>
          </c:extLst>
        </c:ser>
        <c:ser>
          <c:idx val="7"/>
          <c:order val="6"/>
          <c:tx>
            <c:v>Actual Baggage</c:v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'Archer FAR91.103'!$D$50</c:f>
              <c:numCache>
                <c:formatCode>0.0</c:formatCode>
                <c:ptCount val="1"/>
                <c:pt idx="0">
                  <c:v>2.8559999999999999</c:v>
                </c:pt>
              </c:numCache>
            </c:numRef>
          </c:xVal>
          <c:yVal>
            <c:numRef>
              <c:f>'Archer FAR91.103'!$B$50</c:f>
              <c:numCache>
                <c:formatCode>0.0</c:formatCode>
                <c:ptCount val="1"/>
                <c:pt idx="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3A5-42D6-BADB-597E30DAA0E0}"/>
            </c:ext>
          </c:extLst>
        </c:ser>
        <c:ser>
          <c:idx val="6"/>
          <c:order val="7"/>
          <c:tx>
            <c:v>Actual Fuel</c:v>
          </c:tx>
          <c:spPr>
            <a:ln w="28575">
              <a:noFill/>
            </a:ln>
          </c:spPr>
          <c:marker>
            <c:symbol val="plus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'Archer FAR91.103'!$D$54</c:f>
              <c:numCache>
                <c:formatCode>0.0</c:formatCode>
                <c:ptCount val="1"/>
                <c:pt idx="0">
                  <c:v>19.38</c:v>
                </c:pt>
              </c:numCache>
            </c:numRef>
          </c:xVal>
          <c:yVal>
            <c:numRef>
              <c:f>'Archer FAR91.103'!$B$54</c:f>
              <c:numCache>
                <c:formatCode>0.0</c:formatCode>
                <c:ptCount val="1"/>
                <c:pt idx="0">
                  <c:v>204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3A5-42D6-BADB-597E30DAA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600040"/>
        <c:axId val="1"/>
      </c:scatterChart>
      <c:valAx>
        <c:axId val="325600040"/>
        <c:scaling>
          <c:orientation val="minMax"/>
          <c:max val="45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 Moment/1,000 (Pound-Inches)</a:t>
                </a:r>
              </a:p>
            </c:rich>
          </c:tx>
          <c:layout>
            <c:manualLayout>
              <c:xMode val="edge"/>
              <c:yMode val="edge"/>
              <c:x val="0.33908062821541696"/>
              <c:y val="0.846417002752704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5"/>
        <c:minorUnit val="0.5"/>
      </c:valAx>
      <c:valAx>
        <c:axId val="1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 Weight (Pounds)</a:t>
                </a:r>
              </a:p>
            </c:rich>
          </c:tx>
          <c:layout>
            <c:manualLayout>
              <c:xMode val="edge"/>
              <c:yMode val="edge"/>
              <c:x val="3.1034554949464405E-2"/>
              <c:y val="0.31740628873718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5600040"/>
        <c:crosses val="autoZero"/>
        <c:crossBetween val="midCat"/>
        <c:minorUnit val="10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657311669128507"/>
          <c:y val="0.22958115823105257"/>
          <c:w val="0.31314623338257019"/>
          <c:h val="0.2604861753699855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&amp;L&amp;"Arial,Bold"Cessna 172 Loading Graph&amp;R&amp;"Arial,Bold"Printed: &amp;D</c:oddFooter>
    </c:headerFooter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Aircraft Moment (Normal Category)</a:t>
            </a:r>
          </a:p>
        </c:rich>
      </c:tx>
      <c:layout>
        <c:manualLayout>
          <c:xMode val="edge"/>
          <c:yMode val="edge"/>
          <c:x val="0.22401878548564219"/>
          <c:y val="3.27870035202945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48515398992117"/>
          <c:y val="0.18397106063210258"/>
          <c:w val="0.83140983073224095"/>
          <c:h val="0.6247730078892197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'Archer Seed Data'!$A$6:$A$12</c:f>
              <c:numCache>
                <c:formatCode>0.00\ \ </c:formatCode>
                <c:ptCount val="7"/>
                <c:pt idx="0">
                  <c:v>98.4</c:v>
                </c:pt>
                <c:pt idx="1">
                  <c:v>135.30000000000001</c:v>
                </c:pt>
                <c:pt idx="2">
                  <c:v>159.9</c:v>
                </c:pt>
                <c:pt idx="3">
                  <c:v>195.5</c:v>
                </c:pt>
                <c:pt idx="4">
                  <c:v>225.6</c:v>
                </c:pt>
                <c:pt idx="5">
                  <c:v>237.15</c:v>
                </c:pt>
                <c:pt idx="6">
                  <c:v>111.6</c:v>
                </c:pt>
              </c:numCache>
            </c:numRef>
          </c:xVal>
          <c:yVal>
            <c:numRef>
              <c:f>'Archer Seed Data'!$B$6:$B$12</c:f>
              <c:numCache>
                <c:formatCode>#,##0\ \ </c:formatCode>
                <c:ptCount val="7"/>
                <c:pt idx="0">
                  <c:v>1200</c:v>
                </c:pt>
                <c:pt idx="1">
                  <c:v>1650</c:v>
                </c:pt>
                <c:pt idx="2">
                  <c:v>1950</c:v>
                </c:pt>
                <c:pt idx="3">
                  <c:v>2300</c:v>
                </c:pt>
                <c:pt idx="4">
                  <c:v>2550</c:v>
                </c:pt>
                <c:pt idx="5">
                  <c:v>2550</c:v>
                </c:pt>
                <c:pt idx="6">
                  <c:v>1200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19-4183-92FB-403EFF9A0D1E}"/>
            </c:ext>
          </c:extLst>
        </c:ser>
        <c:ser>
          <c:idx val="1"/>
          <c:order val="1"/>
          <c:tx>
            <c:v>T/O Moment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x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'Archer FAR91.103'!$D$56</c:f>
              <c:numCache>
                <c:formatCode>0.0</c:formatCode>
                <c:ptCount val="1"/>
                <c:pt idx="0">
                  <c:v>175.89849000000001</c:v>
                </c:pt>
              </c:numCache>
            </c:numRef>
          </c:xVal>
          <c:yVal>
            <c:numRef>
              <c:f>'Archer FAR91.103'!$B$56</c:f>
              <c:numCache>
                <c:formatCode>0.0</c:formatCode>
                <c:ptCount val="1"/>
                <c:pt idx="0">
                  <c:v>2019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19-4183-92FB-403EFF9A0D1E}"/>
            </c:ext>
          </c:extLst>
        </c:ser>
        <c:ser>
          <c:idx val="2"/>
          <c:order val="2"/>
          <c:tx>
            <c:v>Landing Moment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19-4183-92FB-403EFF9A0D1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'Archer FAR91.103'!$G$56</c:f>
              <c:numCache>
                <c:formatCode>0.0</c:formatCode>
                <c:ptCount val="1"/>
                <c:pt idx="0">
                  <c:v>161.64849000000001</c:v>
                </c:pt>
              </c:numCache>
            </c:numRef>
          </c:xVal>
          <c:yVal>
            <c:numRef>
              <c:f>'Archer FAR91.103'!$E$56</c:f>
              <c:numCache>
                <c:formatCode>0.0</c:formatCode>
                <c:ptCount val="1"/>
                <c:pt idx="0">
                  <c:v>1869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E19-4183-92FB-403EFF9A0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593808"/>
        <c:axId val="1"/>
      </c:scatterChart>
      <c:valAx>
        <c:axId val="325593808"/>
        <c:scaling>
          <c:orientation val="minMax"/>
          <c:max val="240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AIRCRAFT MOMENT (POUNDS-INCHES/1000)</a:t>
                </a:r>
              </a:p>
            </c:rich>
          </c:tx>
          <c:layout>
            <c:manualLayout>
              <c:xMode val="edge"/>
              <c:yMode val="edge"/>
              <c:x val="0.24480400632413529"/>
              <c:y val="0.9016402333594557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"/>
        <c:minorUnit val="10"/>
      </c:valAx>
      <c:valAx>
        <c:axId val="1"/>
        <c:scaling>
          <c:orientation val="minMax"/>
          <c:max val="2700"/>
          <c:min val="1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A/C  WEIGHT(POUNDS)</a:t>
                </a:r>
              </a:p>
            </c:rich>
          </c:tx>
          <c:layout>
            <c:manualLayout>
              <c:xMode val="edge"/>
              <c:yMode val="edge"/>
              <c:x val="2.1939920714658445E-2"/>
              <c:y val="0.207650607655085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5593808"/>
        <c:crosses val="autoZero"/>
        <c:crossBetween val="midCat"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r>
              <a:rPr lang="en-US"/>
              <a:t>Aircraft CG (Normal Category)</a:t>
            </a:r>
          </a:p>
        </c:rich>
      </c:tx>
      <c:layout>
        <c:manualLayout>
          <c:xMode val="edge"/>
          <c:yMode val="edge"/>
          <c:x val="0.29350350609158932"/>
          <c:y val="3.2608577229733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292365237259"/>
          <c:y val="0.18478305819163451"/>
          <c:w val="0.81206508019609991"/>
          <c:h val="0.64130590784155506"/>
        </c:manualLayout>
      </c:layout>
      <c:scatterChart>
        <c:scatterStyle val="lineMarker"/>
        <c:varyColors val="0"/>
        <c:ser>
          <c:idx val="0"/>
          <c:order val="0"/>
          <c:tx>
            <c:v>Normal_CG_Envelope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'Archer Seed Data'!$D$6:$D$12</c:f>
              <c:numCache>
                <c:formatCode>0.00\ \ </c:formatCode>
                <c:ptCount val="7"/>
                <c:pt idx="0">
                  <c:v>82</c:v>
                </c:pt>
                <c:pt idx="1">
                  <c:v>82</c:v>
                </c:pt>
                <c:pt idx="2">
                  <c:v>84</c:v>
                </c:pt>
                <c:pt idx="3">
                  <c:v>86</c:v>
                </c:pt>
                <c:pt idx="4">
                  <c:v>88.5</c:v>
                </c:pt>
                <c:pt idx="5">
                  <c:v>93</c:v>
                </c:pt>
                <c:pt idx="6">
                  <c:v>93</c:v>
                </c:pt>
              </c:numCache>
            </c:numRef>
          </c:xVal>
          <c:yVal>
            <c:numRef>
              <c:f>'Archer Seed Data'!$E$6:$E$12</c:f>
              <c:numCache>
                <c:formatCode>#,##0\ \ </c:formatCode>
                <c:ptCount val="7"/>
                <c:pt idx="0">
                  <c:v>1200</c:v>
                </c:pt>
                <c:pt idx="1">
                  <c:v>2050</c:v>
                </c:pt>
                <c:pt idx="2">
                  <c:v>2200</c:v>
                </c:pt>
                <c:pt idx="3">
                  <c:v>2350</c:v>
                </c:pt>
                <c:pt idx="4">
                  <c:v>2550</c:v>
                </c:pt>
                <c:pt idx="5">
                  <c:v>2550</c:v>
                </c:pt>
                <c:pt idx="6">
                  <c:v>1200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BC-4569-858C-E29FD5CDD245}"/>
            </c:ext>
          </c:extLst>
        </c:ser>
        <c:ser>
          <c:idx val="1"/>
          <c:order val="1"/>
          <c:tx>
            <c:v>T/O CG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'Archer FAR91.103'!$C$56</c:f>
              <c:numCache>
                <c:formatCode>0.0</c:formatCode>
                <c:ptCount val="1"/>
                <c:pt idx="0">
                  <c:v>87.121589895988123</c:v>
                </c:pt>
              </c:numCache>
            </c:numRef>
          </c:xVal>
          <c:yVal>
            <c:numRef>
              <c:f>'Archer FAR91.103'!$B$56</c:f>
              <c:numCache>
                <c:formatCode>0.0</c:formatCode>
                <c:ptCount val="1"/>
                <c:pt idx="0">
                  <c:v>2019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BC-4569-858C-E29FD5CDD245}"/>
            </c:ext>
          </c:extLst>
        </c:ser>
        <c:ser>
          <c:idx val="2"/>
          <c:order val="2"/>
          <c:tx>
            <c:v>Landing CG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'Archer FAR91.103'!$F$56</c:f>
              <c:numCache>
                <c:formatCode>0.0</c:formatCode>
                <c:ptCount val="1"/>
                <c:pt idx="0">
                  <c:v>86.489293739967906</c:v>
                </c:pt>
              </c:numCache>
            </c:numRef>
          </c:xVal>
          <c:yVal>
            <c:numRef>
              <c:f>'Archer FAR91.103'!$E$56</c:f>
              <c:numCache>
                <c:formatCode>0.0</c:formatCode>
                <c:ptCount val="1"/>
                <c:pt idx="0">
                  <c:v>1869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BC-4569-858C-E29FD5CDD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5068448"/>
        <c:axId val="1"/>
      </c:scatterChart>
      <c:valAx>
        <c:axId val="595068448"/>
        <c:scaling>
          <c:orientation val="minMax"/>
          <c:max val="94"/>
          <c:min val="8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en-US"/>
                  <a:t>CG LOCATION (INCHES AFT OF DATUM)</a:t>
                </a:r>
              </a:p>
            </c:rich>
          </c:tx>
          <c:layout>
            <c:manualLayout>
              <c:xMode val="edge"/>
              <c:yMode val="edge"/>
              <c:x val="0.3294663689426881"/>
              <c:y val="0.869567424354974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"/>
        <c:crossesAt val="1200"/>
        <c:crossBetween val="midCat"/>
        <c:majorUnit val="2"/>
        <c:minorUnit val="0.5"/>
      </c:valAx>
      <c:valAx>
        <c:axId val="1"/>
        <c:scaling>
          <c:orientation val="minMax"/>
          <c:max val="2700"/>
          <c:min val="1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en-US"/>
                  <a:t>LOADED A/C WEIGHT (POUNDS)      </a:t>
                </a:r>
              </a:p>
            </c:rich>
          </c:tx>
          <c:layout>
            <c:manualLayout>
              <c:xMode val="edge"/>
              <c:yMode val="edge"/>
              <c:x val="5.6844595918047552E-2"/>
              <c:y val="0.2336960828009706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595068448"/>
        <c:crossesAt val="80"/>
        <c:crossBetween val="midCat"/>
        <c:majorUnit val="100"/>
        <c:minorUnit val="5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125</xdr:row>
      <xdr:rowOff>57150</xdr:rowOff>
    </xdr:from>
    <xdr:to>
      <xdr:col>6</xdr:col>
      <xdr:colOff>476250</xdr:colOff>
      <xdr:row>152</xdr:row>
      <xdr:rowOff>0</xdr:rowOff>
    </xdr:to>
    <xdr:graphicFrame macro="">
      <xdr:nvGraphicFramePr>
        <xdr:cNvPr id="2080" name="Chart 1">
          <a:extLst>
            <a:ext uri="{FF2B5EF4-FFF2-40B4-BE49-F238E27FC236}">
              <a16:creationId xmlns:a16="http://schemas.microsoft.com/office/drawing/2014/main" id="{C29C5C39-848B-45BD-8884-FEF58E7FCF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69</xdr:row>
      <xdr:rowOff>0</xdr:rowOff>
    </xdr:from>
    <xdr:to>
      <xdr:col>6</xdr:col>
      <xdr:colOff>476250</xdr:colOff>
      <xdr:row>93</xdr:row>
      <xdr:rowOff>152400</xdr:rowOff>
    </xdr:to>
    <xdr:graphicFrame macro="">
      <xdr:nvGraphicFramePr>
        <xdr:cNvPr id="2081" name="Chart 2">
          <a:extLst>
            <a:ext uri="{FF2B5EF4-FFF2-40B4-BE49-F238E27FC236}">
              <a16:creationId xmlns:a16="http://schemas.microsoft.com/office/drawing/2014/main" id="{485618B5-E41E-4655-8B33-5D4A43C0B5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95</xdr:row>
      <xdr:rowOff>142875</xdr:rowOff>
    </xdr:from>
    <xdr:to>
      <xdr:col>6</xdr:col>
      <xdr:colOff>428625</xdr:colOff>
      <xdr:row>120</xdr:row>
      <xdr:rowOff>152400</xdr:rowOff>
    </xdr:to>
    <xdr:graphicFrame macro="">
      <xdr:nvGraphicFramePr>
        <xdr:cNvPr id="2082" name="Chart 3">
          <a:extLst>
            <a:ext uri="{FF2B5EF4-FFF2-40B4-BE49-F238E27FC236}">
              <a16:creationId xmlns:a16="http://schemas.microsoft.com/office/drawing/2014/main" id="{679895AD-3B34-4268-8CDA-9B96E311CA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tabSelected="1" zoomScale="115" zoomScaleNormal="115" workbookViewId="0">
      <selection activeCell="C49" sqref="C49"/>
    </sheetView>
  </sheetViews>
  <sheetFormatPr defaultRowHeight="12.75" x14ac:dyDescent="0.2"/>
  <cols>
    <col min="1" max="1" width="17.140625" customWidth="1"/>
    <col min="2" max="2" width="8.85546875" customWidth="1"/>
    <col min="3" max="3" width="19.28515625" customWidth="1"/>
    <col min="4" max="4" width="14" customWidth="1"/>
    <col min="5" max="5" width="19.140625" customWidth="1"/>
    <col min="6" max="6" width="13" customWidth="1"/>
    <col min="7" max="7" width="11.7109375" customWidth="1"/>
    <col min="8" max="8" width="14" customWidth="1"/>
    <col min="11" max="11" width="12.42578125" customWidth="1"/>
  </cols>
  <sheetData>
    <row r="1" spans="1:7" x14ac:dyDescent="0.2">
      <c r="A1" s="151" t="s">
        <v>97</v>
      </c>
      <c r="B1" s="152"/>
      <c r="C1" s="152"/>
      <c r="D1" s="152"/>
      <c r="E1" s="152"/>
      <c r="F1" s="152"/>
      <c r="G1" s="153"/>
    </row>
    <row r="2" spans="1:7" x14ac:dyDescent="0.2">
      <c r="A2" s="161" t="s">
        <v>93</v>
      </c>
      <c r="B2" s="162"/>
      <c r="C2" s="162"/>
      <c r="D2" s="162"/>
      <c r="E2" s="162"/>
      <c r="F2" s="162"/>
      <c r="G2" s="163"/>
    </row>
    <row r="3" spans="1:7" s="17" customFormat="1" ht="13.5" thickBot="1" x14ac:dyDescent="0.25">
      <c r="A3" s="175" t="s">
        <v>95</v>
      </c>
      <c r="B3" s="176"/>
      <c r="C3" s="176"/>
      <c r="D3" s="176"/>
      <c r="E3" s="176"/>
      <c r="F3" s="176"/>
      <c r="G3" s="177"/>
    </row>
    <row r="4" spans="1:7" ht="8.25" customHeight="1" thickBot="1" x14ac:dyDescent="0.25">
      <c r="A4" s="89"/>
      <c r="B4" s="71"/>
      <c r="C4" s="71"/>
      <c r="D4" s="71"/>
      <c r="E4" s="71"/>
      <c r="F4" s="71"/>
      <c r="G4" s="90"/>
    </row>
    <row r="5" spans="1:7" x14ac:dyDescent="0.2">
      <c r="A5" s="168" t="s">
        <v>94</v>
      </c>
      <c r="B5" s="169"/>
      <c r="C5" s="169"/>
      <c r="D5" s="169"/>
      <c r="E5" s="169"/>
      <c r="F5" s="169"/>
      <c r="G5" s="170"/>
    </row>
    <row r="6" spans="1:7" ht="13.5" thickBot="1" x14ac:dyDescent="0.25">
      <c r="A6" s="171" t="s">
        <v>92</v>
      </c>
      <c r="B6" s="172"/>
      <c r="C6" s="172"/>
      <c r="D6" s="172"/>
      <c r="E6" s="172"/>
      <c r="F6" s="172"/>
      <c r="G6" s="173"/>
    </row>
    <row r="7" spans="1:7" ht="9" customHeight="1" thickBot="1" x14ac:dyDescent="0.25">
      <c r="A7" s="91"/>
      <c r="B7" s="14"/>
      <c r="C7" s="14"/>
      <c r="D7" s="14"/>
      <c r="E7" s="14"/>
      <c r="F7" s="14"/>
      <c r="G7" s="92"/>
    </row>
    <row r="8" spans="1:7" x14ac:dyDescent="0.2">
      <c r="A8" s="115" t="s">
        <v>99</v>
      </c>
      <c r="B8" s="116"/>
      <c r="C8" s="116"/>
      <c r="D8" s="116"/>
      <c r="E8" s="116"/>
      <c r="F8" s="117"/>
      <c r="G8" s="92"/>
    </row>
    <row r="9" spans="1:7" x14ac:dyDescent="0.2">
      <c r="A9" s="93" t="s">
        <v>51</v>
      </c>
      <c r="B9" s="58">
        <f>(1-POWER(((33.8639*B10)/1013.25),0.190284))*145366.45</f>
        <v>28.895558366206458</v>
      </c>
      <c r="C9" s="59" t="s">
        <v>49</v>
      </c>
      <c r="D9" s="82">
        <v>32</v>
      </c>
      <c r="E9" s="59" t="s">
        <v>50</v>
      </c>
      <c r="F9" s="73">
        <f>(145366*(1-(POWER((17.326*B10/B12),0.235)))) +F27</f>
        <v>3315.0744107705955</v>
      </c>
      <c r="G9" s="92"/>
    </row>
    <row r="10" spans="1:7" x14ac:dyDescent="0.2">
      <c r="A10" s="93" t="s">
        <v>52</v>
      </c>
      <c r="B10" s="83">
        <v>29.89</v>
      </c>
      <c r="C10" s="59" t="s">
        <v>81</v>
      </c>
      <c r="D10" s="84">
        <v>21</v>
      </c>
      <c r="E10" s="59" t="s">
        <v>77</v>
      </c>
      <c r="F10" s="52">
        <f>6.11*POWER(10,(7.5*D10)/(237.7+D10))</f>
        <v>24.823013730162046</v>
      </c>
      <c r="G10" s="92"/>
    </row>
    <row r="11" spans="1:7" x14ac:dyDescent="0.2">
      <c r="A11" s="93" t="s">
        <v>78</v>
      </c>
      <c r="B11" s="60">
        <f>(D9+273.15)/(1-0.379*(6.11*POWER(10,(7.5*D10)/(237.7+D10))/F11))</f>
        <v>308.01285712653163</v>
      </c>
      <c r="C11" s="59" t="s">
        <v>48</v>
      </c>
      <c r="D11" s="60">
        <f>(9/5)*D9+32</f>
        <v>89.6</v>
      </c>
      <c r="E11" s="59" t="s">
        <v>80</v>
      </c>
      <c r="F11" s="52">
        <f>33.8639*B10</f>
        <v>1012.1919710000001</v>
      </c>
      <c r="G11" s="92"/>
    </row>
    <row r="12" spans="1:7" ht="13.5" thickBot="1" x14ac:dyDescent="0.25">
      <c r="A12" s="94" t="s">
        <v>79</v>
      </c>
      <c r="B12" s="74">
        <f>((B11-273.15)*1.8)+491.67</f>
        <v>554.42314282775703</v>
      </c>
      <c r="C12" s="75" t="s">
        <v>82</v>
      </c>
      <c r="D12" s="74">
        <f>(9/5)*D10+32</f>
        <v>69.800000000000011</v>
      </c>
      <c r="E12" s="75" t="s">
        <v>88</v>
      </c>
      <c r="F12" s="76">
        <f>D11-D12</f>
        <v>19.799999999999983</v>
      </c>
      <c r="G12" s="92"/>
    </row>
    <row r="13" spans="1:7" ht="13.5" thickBot="1" x14ac:dyDescent="0.25">
      <c r="A13" s="118" t="str">
        <f>IF(ABS(F12)&lt;10,"CAUTION FOG *** CHECK DEWPOINT SPREAD"," ")</f>
        <v xml:space="preserve"> </v>
      </c>
      <c r="B13" s="119"/>
      <c r="C13" s="120"/>
      <c r="D13" s="121" t="str">
        <f>IF(F9&gt; 2500," CAUTION **** HIGH DENSITY ALTITUDE!!!!"," ")</f>
        <v xml:space="preserve"> CAUTION **** HIGH DENSITY ALTITUDE!!!!</v>
      </c>
      <c r="E13" s="122"/>
      <c r="F13" s="123"/>
      <c r="G13" s="92"/>
    </row>
    <row r="14" spans="1:7" x14ac:dyDescent="0.2">
      <c r="A14" s="115" t="s">
        <v>100</v>
      </c>
      <c r="B14" s="116"/>
      <c r="C14" s="116"/>
      <c r="D14" s="116"/>
      <c r="E14" s="116"/>
      <c r="F14" s="117"/>
      <c r="G14" s="92"/>
    </row>
    <row r="15" spans="1:7" x14ac:dyDescent="0.2">
      <c r="A15" s="93" t="s">
        <v>51</v>
      </c>
      <c r="B15" s="58">
        <f>(1-POWER(((33.8639*B16)/1013.25),0.190284))*145366.45</f>
        <v>28.895558366206458</v>
      </c>
      <c r="C15" s="59" t="s">
        <v>49</v>
      </c>
      <c r="D15" s="82">
        <v>32</v>
      </c>
      <c r="E15" s="59" t="s">
        <v>50</v>
      </c>
      <c r="F15" s="73">
        <f>(145366*(1-(POWER((17.326*B16/B18),0.235)))) +F28</f>
        <v>3315.0744107705955</v>
      </c>
      <c r="G15" s="92"/>
    </row>
    <row r="16" spans="1:7" x14ac:dyDescent="0.2">
      <c r="A16" s="93" t="s">
        <v>52</v>
      </c>
      <c r="B16" s="83">
        <v>29.89</v>
      </c>
      <c r="C16" s="59" t="s">
        <v>81</v>
      </c>
      <c r="D16" s="84">
        <v>21</v>
      </c>
      <c r="E16" s="59" t="s">
        <v>77</v>
      </c>
      <c r="F16" s="52">
        <f>6.11*POWER(10,(7.5*D16)/(237.7+D16))</f>
        <v>24.823013730162046</v>
      </c>
      <c r="G16" s="92"/>
    </row>
    <row r="17" spans="1:11" x14ac:dyDescent="0.2">
      <c r="A17" s="93" t="s">
        <v>78</v>
      </c>
      <c r="B17" s="60">
        <f>(D15+273.15)/(1-0.379*(6.11*POWER(10,(7.5*D16)/(237.7+D16))/F17))</f>
        <v>308.01285712653163</v>
      </c>
      <c r="C17" s="59" t="s">
        <v>48</v>
      </c>
      <c r="D17" s="60">
        <f>(9/5)*D15+32</f>
        <v>89.6</v>
      </c>
      <c r="E17" s="59" t="s">
        <v>80</v>
      </c>
      <c r="F17" s="52">
        <f>33.8639*B16</f>
        <v>1012.1919710000001</v>
      </c>
      <c r="G17" s="92"/>
    </row>
    <row r="18" spans="1:11" ht="13.5" thickBot="1" x14ac:dyDescent="0.25">
      <c r="A18" s="94" t="s">
        <v>79</v>
      </c>
      <c r="B18" s="74">
        <f>((B17-273.15)*1.8)+491.67</f>
        <v>554.42314282775703</v>
      </c>
      <c r="C18" s="75" t="s">
        <v>82</v>
      </c>
      <c r="D18" s="74">
        <f>(9/5)*D16+32</f>
        <v>69.800000000000011</v>
      </c>
      <c r="E18" s="75" t="s">
        <v>88</v>
      </c>
      <c r="F18" s="76">
        <f>D17-D18</f>
        <v>19.799999999999983</v>
      </c>
      <c r="G18" s="92"/>
    </row>
    <row r="19" spans="1:11" ht="13.5" thickBot="1" x14ac:dyDescent="0.25">
      <c r="A19" s="118" t="str">
        <f>IF(ABS(F18)&lt;10,"CAUTION FOG *** CHECK DEWPOINT SPREAD"," ")</f>
        <v xml:space="preserve"> </v>
      </c>
      <c r="B19" s="119"/>
      <c r="C19" s="120"/>
      <c r="D19" s="121" t="str">
        <f>IF(F15&gt; 2500," CAUTION **** HIGH DENSITY ALTITUDE!!!!"," ")</f>
        <v xml:space="preserve"> CAUTION **** HIGH DENSITY ALTITUDE!!!!</v>
      </c>
      <c r="E19" s="122"/>
      <c r="F19" s="123"/>
      <c r="G19" s="92"/>
    </row>
    <row r="20" spans="1:11" ht="13.5" thickBot="1" x14ac:dyDescent="0.25">
      <c r="A20" s="164" t="s">
        <v>83</v>
      </c>
      <c r="B20" s="165"/>
      <c r="C20" s="166"/>
      <c r="D20" s="166"/>
      <c r="E20" s="166"/>
      <c r="F20" s="167"/>
      <c r="G20" s="92"/>
    </row>
    <row r="21" spans="1:11" x14ac:dyDescent="0.2">
      <c r="A21" s="124" t="s">
        <v>84</v>
      </c>
      <c r="B21" s="125"/>
      <c r="C21" s="65" t="s">
        <v>65</v>
      </c>
      <c r="D21" s="85">
        <v>200</v>
      </c>
      <c r="E21" s="64" t="s">
        <v>66</v>
      </c>
      <c r="F21" s="86">
        <v>7</v>
      </c>
      <c r="G21" s="92"/>
      <c r="H21" s="49"/>
    </row>
    <row r="22" spans="1:11" ht="13.5" thickBot="1" x14ac:dyDescent="0.25">
      <c r="A22" s="126" t="s">
        <v>85</v>
      </c>
      <c r="B22" s="127"/>
      <c r="C22" s="66" t="s">
        <v>63</v>
      </c>
      <c r="D22" s="82">
        <v>200</v>
      </c>
      <c r="E22" s="59" t="s">
        <v>64</v>
      </c>
      <c r="F22" s="81">
        <v>7</v>
      </c>
      <c r="G22" s="92"/>
      <c r="H22" s="69"/>
    </row>
    <row r="23" spans="1:11" x14ac:dyDescent="0.2">
      <c r="A23" s="95"/>
      <c r="B23" s="61"/>
      <c r="C23" s="48"/>
      <c r="D23" s="70" t="str">
        <f>IF((SIN(ABS(D21-B24)*3.14/180)*F21)&lt; 0,"Right Crosswind","Left Crosswind")</f>
        <v>Left Crosswind</v>
      </c>
      <c r="E23" s="48"/>
      <c r="F23" s="56"/>
      <c r="G23" s="92"/>
    </row>
    <row r="24" spans="1:11" x14ac:dyDescent="0.2">
      <c r="A24" s="96" t="s">
        <v>86</v>
      </c>
      <c r="B24" s="82">
        <v>180</v>
      </c>
      <c r="C24" s="1" t="s">
        <v>59</v>
      </c>
      <c r="D24" s="8">
        <f>ABS(SIN(ABS(D21-B24)*3.14/180)*F21)</f>
        <v>2.392976939823424</v>
      </c>
      <c r="E24" s="1" t="s">
        <v>60</v>
      </c>
      <c r="F24" s="52">
        <f>ABS(COS(ABS(D21-B24)*3.14/180)*F21)</f>
        <v>6.5782719133122889</v>
      </c>
      <c r="G24" s="97" t="str">
        <f>IF((COS(ABS(D21-B24)*3.14/180)*F21)&lt;0,"TAILWIND!!!!"," ")</f>
        <v xml:space="preserve"> </v>
      </c>
      <c r="K24" s="49"/>
    </row>
    <row r="25" spans="1:11" x14ac:dyDescent="0.2">
      <c r="A25" s="96" t="s">
        <v>58</v>
      </c>
      <c r="B25" s="82">
        <v>180</v>
      </c>
      <c r="C25" s="1" t="s">
        <v>61</v>
      </c>
      <c r="D25" s="8">
        <f>ABS(SIN(ABS(D22-B25)*3.14/180)*F22)</f>
        <v>2.392976939823424</v>
      </c>
      <c r="E25" s="1" t="s">
        <v>62</v>
      </c>
      <c r="F25" s="52">
        <f>ABS(COS(ABS(D22-B25)*3.14/180)*F22)</f>
        <v>6.5782719133122889</v>
      </c>
      <c r="G25" s="97" t="str">
        <f>IF((COS(ABS(D22-B25)*3.14/180)*F22)&lt;0,"TAILWIND!!!!"," ")</f>
        <v xml:space="preserve"> </v>
      </c>
    </row>
    <row r="26" spans="1:11" x14ac:dyDescent="0.2">
      <c r="A26" s="96"/>
      <c r="B26" s="48"/>
      <c r="C26" s="1"/>
      <c r="D26" s="72" t="str">
        <f>IF((SIN(ABS(D22-B25)*3.14/180)*F22)&lt; 0,"Right Crosswind","Left Crosswind")</f>
        <v>Left Crosswind</v>
      </c>
      <c r="E26" s="1"/>
      <c r="F26" s="52"/>
      <c r="G26" s="92"/>
    </row>
    <row r="27" spans="1:11" x14ac:dyDescent="0.2">
      <c r="A27" s="96" t="s">
        <v>0</v>
      </c>
      <c r="B27" s="18">
        <f>(((F9/1000)*(0.2*1000)+850)-((2550-B56)*1.1))-((COS(ABS(D21-B24)*3.14/180)*F21)*20)</f>
        <v>797.34944388787324</v>
      </c>
      <c r="C27" s="1" t="s">
        <v>90</v>
      </c>
      <c r="D27" s="18">
        <f>B27*1.7</f>
        <v>1355.4940546093844</v>
      </c>
      <c r="E27" s="1" t="s">
        <v>87</v>
      </c>
      <c r="F27" s="81">
        <v>1004</v>
      </c>
      <c r="G27" s="92"/>
      <c r="K27" s="49"/>
    </row>
    <row r="28" spans="1:11" x14ac:dyDescent="0.2">
      <c r="A28" s="96" t="s">
        <v>1</v>
      </c>
      <c r="B28" s="18">
        <f>(((F15/1000)*(0.12*1000)+860)-((2550-E56)*1))-((COS(ABS(D22-B25)*3.14/180)*F22)*20)</f>
        <v>445.24349102622568</v>
      </c>
      <c r="C28" s="1" t="s">
        <v>91</v>
      </c>
      <c r="D28" s="18">
        <f>B28*1.55</f>
        <v>690.12741109064984</v>
      </c>
      <c r="E28" s="48" t="s">
        <v>89</v>
      </c>
      <c r="F28" s="81">
        <v>1004</v>
      </c>
      <c r="G28" s="92"/>
    </row>
    <row r="29" spans="1:11" x14ac:dyDescent="0.2">
      <c r="A29" s="96"/>
      <c r="B29" s="1"/>
      <c r="C29" s="1"/>
      <c r="D29" s="13"/>
      <c r="E29" s="1"/>
      <c r="F29" s="57"/>
      <c r="G29" s="92"/>
    </row>
    <row r="30" spans="1:11" x14ac:dyDescent="0.2">
      <c r="A30" s="96" t="s">
        <v>2</v>
      </c>
      <c r="B30" s="82">
        <v>34</v>
      </c>
      <c r="C30" s="1"/>
      <c r="D30" s="1"/>
      <c r="E30" s="1" t="s">
        <v>3</v>
      </c>
      <c r="F30" s="81">
        <v>10</v>
      </c>
      <c r="G30" s="92"/>
      <c r="H30" s="50"/>
    </row>
    <row r="31" spans="1:11" ht="13.5" thickBot="1" x14ac:dyDescent="0.25">
      <c r="A31" s="98" t="s">
        <v>5</v>
      </c>
      <c r="B31" s="62">
        <v>25</v>
      </c>
      <c r="C31" s="53" t="s">
        <v>47</v>
      </c>
      <c r="D31" s="87">
        <v>2</v>
      </c>
      <c r="E31" s="53" t="s">
        <v>4</v>
      </c>
      <c r="F31" s="63">
        <f>B30/F30</f>
        <v>3.4</v>
      </c>
      <c r="G31" s="92"/>
    </row>
    <row r="32" spans="1:11" ht="7.5" customHeight="1" thickBot="1" x14ac:dyDescent="0.25">
      <c r="A32" s="99"/>
      <c r="B32" s="54"/>
      <c r="C32" s="54"/>
      <c r="D32" s="55"/>
      <c r="E32" s="54"/>
      <c r="F32" s="54"/>
      <c r="G32" s="92"/>
    </row>
    <row r="33" spans="1:7" ht="14.25" thickTop="1" thickBot="1" x14ac:dyDescent="0.25">
      <c r="A33" s="158" t="s">
        <v>27</v>
      </c>
      <c r="B33" s="159"/>
      <c r="C33" s="159"/>
      <c r="D33" s="159"/>
      <c r="E33" s="159"/>
      <c r="F33" s="160"/>
      <c r="G33" s="92"/>
    </row>
    <row r="34" spans="1:7" ht="13.5" thickTop="1" x14ac:dyDescent="0.2">
      <c r="A34" s="154" t="s">
        <v>24</v>
      </c>
      <c r="B34" s="155"/>
      <c r="C34" s="156" t="s">
        <v>25</v>
      </c>
      <c r="D34" s="155"/>
      <c r="E34" s="156" t="s">
        <v>26</v>
      </c>
      <c r="F34" s="157"/>
      <c r="G34" s="92"/>
    </row>
    <row r="35" spans="1:7" x14ac:dyDescent="0.2">
      <c r="A35" s="100" t="s">
        <v>6</v>
      </c>
      <c r="B35" s="4"/>
      <c r="C35" s="4" t="s">
        <v>13</v>
      </c>
      <c r="D35" s="4"/>
      <c r="E35" s="4" t="s">
        <v>19</v>
      </c>
      <c r="F35" s="5"/>
      <c r="G35" s="92"/>
    </row>
    <row r="36" spans="1:7" x14ac:dyDescent="0.2">
      <c r="A36" s="100" t="s">
        <v>7</v>
      </c>
      <c r="B36" s="4"/>
      <c r="C36" s="4" t="s">
        <v>14</v>
      </c>
      <c r="D36" s="4">
        <v>66</v>
      </c>
      <c r="E36" s="4" t="s">
        <v>20</v>
      </c>
      <c r="F36" s="5"/>
      <c r="G36" s="92"/>
    </row>
    <row r="37" spans="1:7" x14ac:dyDescent="0.2">
      <c r="A37" s="100" t="s">
        <v>8</v>
      </c>
      <c r="B37" s="4">
        <v>53</v>
      </c>
      <c r="C37" s="4" t="s">
        <v>15</v>
      </c>
      <c r="D37" s="4"/>
      <c r="E37" s="4" t="s">
        <v>21</v>
      </c>
      <c r="F37" s="5">
        <v>102</v>
      </c>
      <c r="G37" s="92"/>
    </row>
    <row r="38" spans="1:7" x14ac:dyDescent="0.2">
      <c r="A38" s="100" t="s">
        <v>9</v>
      </c>
      <c r="B38" s="4">
        <v>51</v>
      </c>
      <c r="C38" s="4" t="s">
        <v>16</v>
      </c>
      <c r="D38" s="4">
        <v>49</v>
      </c>
      <c r="E38" s="4" t="s">
        <v>22</v>
      </c>
      <c r="F38" s="5">
        <v>122</v>
      </c>
      <c r="G38" s="92"/>
    </row>
    <row r="39" spans="1:7" x14ac:dyDescent="0.2">
      <c r="A39" s="100" t="s">
        <v>10</v>
      </c>
      <c r="B39" s="4"/>
      <c r="C39" s="4" t="s">
        <v>17</v>
      </c>
      <c r="D39" s="4">
        <v>55</v>
      </c>
      <c r="E39" s="4" t="s">
        <v>23</v>
      </c>
      <c r="F39" s="5">
        <v>154</v>
      </c>
      <c r="G39" s="92"/>
    </row>
    <row r="40" spans="1:7" x14ac:dyDescent="0.2">
      <c r="A40" s="100" t="s">
        <v>11</v>
      </c>
      <c r="B40" s="4">
        <v>64</v>
      </c>
      <c r="C40" s="4" t="s">
        <v>18</v>
      </c>
      <c r="D40" s="4">
        <v>76</v>
      </c>
      <c r="E40" s="4"/>
      <c r="F40" s="5"/>
      <c r="G40" s="92"/>
    </row>
    <row r="41" spans="1:7" x14ac:dyDescent="0.2">
      <c r="A41" s="100" t="s">
        <v>44</v>
      </c>
      <c r="B41" s="4">
        <v>64</v>
      </c>
      <c r="C41" s="4"/>
      <c r="D41" s="4"/>
      <c r="E41" s="4"/>
      <c r="F41" s="5"/>
      <c r="G41" s="92"/>
    </row>
    <row r="42" spans="1:7" ht="13.5" thickBot="1" x14ac:dyDescent="0.25">
      <c r="A42" s="101" t="s">
        <v>12</v>
      </c>
      <c r="B42" s="6">
        <v>76</v>
      </c>
      <c r="C42" s="6"/>
      <c r="D42" s="6"/>
      <c r="E42" s="2"/>
      <c r="F42" s="7"/>
      <c r="G42" s="92"/>
    </row>
    <row r="43" spans="1:7" ht="7.5" customHeight="1" thickTop="1" thickBot="1" x14ac:dyDescent="0.25">
      <c r="A43" s="91"/>
      <c r="B43" s="14"/>
      <c r="C43" s="14"/>
      <c r="D43" s="14"/>
      <c r="E43" s="14"/>
      <c r="F43" s="14"/>
      <c r="G43" s="92"/>
    </row>
    <row r="44" spans="1:7" ht="13.5" thickBot="1" x14ac:dyDescent="0.25">
      <c r="A44" s="131" t="s">
        <v>98</v>
      </c>
      <c r="B44" s="132"/>
      <c r="C44" s="132"/>
      <c r="D44" s="132"/>
      <c r="E44" s="132"/>
      <c r="F44" s="132"/>
      <c r="G44" s="133"/>
    </row>
    <row r="45" spans="1:7" ht="13.5" thickTop="1" x14ac:dyDescent="0.2">
      <c r="A45" s="102"/>
      <c r="B45" s="130" t="s">
        <v>24</v>
      </c>
      <c r="C45" s="130"/>
      <c r="D45" s="130"/>
      <c r="E45" s="134" t="s">
        <v>25</v>
      </c>
      <c r="F45" s="135"/>
      <c r="G45" s="136"/>
    </row>
    <row r="46" spans="1:7" x14ac:dyDescent="0.2">
      <c r="A46" s="103" t="s">
        <v>31</v>
      </c>
      <c r="B46" s="3" t="s">
        <v>28</v>
      </c>
      <c r="C46" s="3" t="s">
        <v>29</v>
      </c>
      <c r="D46" s="3" t="s">
        <v>30</v>
      </c>
      <c r="E46" s="3" t="s">
        <v>28</v>
      </c>
      <c r="F46" s="3" t="s">
        <v>29</v>
      </c>
      <c r="G46" s="104" t="s">
        <v>30</v>
      </c>
    </row>
    <row r="47" spans="1:7" x14ac:dyDescent="0.2">
      <c r="A47" s="96" t="s">
        <v>32</v>
      </c>
      <c r="B47" s="11">
        <v>1553</v>
      </c>
      <c r="C47" s="9">
        <v>86.48</v>
      </c>
      <c r="D47" s="9">
        <v>134.29749000000001</v>
      </c>
      <c r="E47" s="9">
        <f t="shared" ref="E47:F52" si="0">B47</f>
        <v>1553</v>
      </c>
      <c r="F47" s="9">
        <f t="shared" si="0"/>
        <v>86.48</v>
      </c>
      <c r="G47" s="105">
        <f>D47</f>
        <v>134.29749000000001</v>
      </c>
    </row>
    <row r="48" spans="1:7" x14ac:dyDescent="0.2">
      <c r="A48" s="96" t="s">
        <v>33</v>
      </c>
      <c r="B48" s="88">
        <v>250</v>
      </c>
      <c r="C48" s="9">
        <v>80.5</v>
      </c>
      <c r="D48" s="9">
        <f>(B48*C48)/1000</f>
        <v>20.125</v>
      </c>
      <c r="E48" s="9">
        <f t="shared" si="0"/>
        <v>250</v>
      </c>
      <c r="F48" s="9">
        <f t="shared" si="0"/>
        <v>80.5</v>
      </c>
      <c r="G48" s="105">
        <f>D48</f>
        <v>20.125</v>
      </c>
    </row>
    <row r="49" spans="1:7" x14ac:dyDescent="0.2">
      <c r="A49" s="96" t="s">
        <v>34</v>
      </c>
      <c r="B49" s="88">
        <v>0</v>
      </c>
      <c r="C49" s="9">
        <v>118.1</v>
      </c>
      <c r="D49" s="9">
        <f>(B49*C49)/1000</f>
        <v>0</v>
      </c>
      <c r="E49" s="9">
        <f t="shared" si="0"/>
        <v>0</v>
      </c>
      <c r="F49" s="9">
        <f t="shared" si="0"/>
        <v>118.1</v>
      </c>
      <c r="G49" s="105">
        <f>D49</f>
        <v>0</v>
      </c>
    </row>
    <row r="50" spans="1:7" x14ac:dyDescent="0.2">
      <c r="A50" s="96" t="s">
        <v>35</v>
      </c>
      <c r="B50" s="88">
        <v>20</v>
      </c>
      <c r="C50" s="9">
        <v>142.80000000000001</v>
      </c>
      <c r="D50" s="9">
        <f>(B50*C50)/1000</f>
        <v>2.8559999999999999</v>
      </c>
      <c r="E50" s="9">
        <f t="shared" si="0"/>
        <v>20</v>
      </c>
      <c r="F50" s="9">
        <f t="shared" si="0"/>
        <v>142.80000000000001</v>
      </c>
      <c r="G50" s="105">
        <f>D50</f>
        <v>2.8559999999999999</v>
      </c>
    </row>
    <row r="51" spans="1:7" x14ac:dyDescent="0.2">
      <c r="A51" s="106"/>
      <c r="B51" s="10"/>
      <c r="C51" s="10"/>
      <c r="D51" s="10"/>
      <c r="E51" s="10"/>
      <c r="F51" s="10"/>
      <c r="G51" s="107"/>
    </row>
    <row r="52" spans="1:7" x14ac:dyDescent="0.2">
      <c r="A52" s="96" t="s">
        <v>36</v>
      </c>
      <c r="B52" s="11">
        <f>SUM(B47:B50)</f>
        <v>1823</v>
      </c>
      <c r="C52" s="9">
        <f>D52*1000/B52</f>
        <v>86.27454196379594</v>
      </c>
      <c r="D52" s="9">
        <f>SUM(D47:D51)</f>
        <v>157.27849000000001</v>
      </c>
      <c r="E52" s="9">
        <f t="shared" si="0"/>
        <v>1823</v>
      </c>
      <c r="F52" s="9">
        <f t="shared" si="0"/>
        <v>86.27454196379594</v>
      </c>
      <c r="G52" s="105">
        <f>D52</f>
        <v>157.27849000000001</v>
      </c>
    </row>
    <row r="53" spans="1:7" x14ac:dyDescent="0.2">
      <c r="A53" s="96" t="s">
        <v>37</v>
      </c>
      <c r="B53" s="11"/>
      <c r="C53" s="9"/>
      <c r="D53" s="9"/>
      <c r="E53" s="1"/>
      <c r="F53" s="1"/>
      <c r="G53" s="57"/>
    </row>
    <row r="54" spans="1:7" x14ac:dyDescent="0.2">
      <c r="A54" s="96" t="s">
        <v>38</v>
      </c>
      <c r="B54" s="11">
        <f>B30*6</f>
        <v>204</v>
      </c>
      <c r="C54" s="9">
        <v>95</v>
      </c>
      <c r="D54" s="9">
        <f>(B54*C54)/1000</f>
        <v>19.38</v>
      </c>
      <c r="E54" s="1">
        <f>(B30-B31)*6</f>
        <v>54</v>
      </c>
      <c r="F54" s="9">
        <f>$C$54</f>
        <v>95</v>
      </c>
      <c r="G54" s="105">
        <f>(E54*F54)/1000</f>
        <v>5.13</v>
      </c>
    </row>
    <row r="55" spans="1:7" x14ac:dyDescent="0.2">
      <c r="A55" s="108" t="s">
        <v>76</v>
      </c>
      <c r="B55" s="1">
        <v>-8</v>
      </c>
      <c r="C55" s="9">
        <v>95</v>
      </c>
      <c r="D55" s="9">
        <f>(B55*C55)/1000</f>
        <v>-0.76</v>
      </c>
      <c r="E55" s="1">
        <v>-8</v>
      </c>
      <c r="F55" s="9">
        <v>95</v>
      </c>
      <c r="G55" s="105">
        <f>(E55*F55)/1000</f>
        <v>-0.76</v>
      </c>
    </row>
    <row r="56" spans="1:7" ht="13.5" thickBot="1" x14ac:dyDescent="0.25">
      <c r="A56" s="109" t="s">
        <v>39</v>
      </c>
      <c r="B56" s="67">
        <f>SUM(B52:B55)</f>
        <v>2019</v>
      </c>
      <c r="C56" s="68">
        <f>D56*1000/B56</f>
        <v>87.121589895988123</v>
      </c>
      <c r="D56" s="68">
        <f>SUM(D52:D55)</f>
        <v>175.89849000000001</v>
      </c>
      <c r="E56" s="67">
        <f>SUM(E52:E55)</f>
        <v>1869</v>
      </c>
      <c r="F56" s="68">
        <f>G56*1000/E56</f>
        <v>86.489293739967906</v>
      </c>
      <c r="G56" s="110">
        <f>SUM(G52:G55)</f>
        <v>161.64849000000001</v>
      </c>
    </row>
    <row r="57" spans="1:7" ht="13.5" thickBot="1" x14ac:dyDescent="0.25">
      <c r="A57" s="139" t="str">
        <f>IF(B56 &gt; C58," *** Too Heavy Leave something or someone behind ***"," ")</f>
        <v xml:space="preserve"> </v>
      </c>
      <c r="B57" s="140"/>
      <c r="C57" s="140"/>
      <c r="D57" s="141"/>
      <c r="E57" s="139" t="str">
        <f>IF(OR(F56&lt;F62, F56&gt;F63), "**** CAUTION CG OUT OF LIMITS ****"," ")</f>
        <v xml:space="preserve"> </v>
      </c>
      <c r="F57" s="140"/>
      <c r="G57" s="141"/>
    </row>
    <row r="58" spans="1:7" ht="13.5" thickBot="1" x14ac:dyDescent="0.25">
      <c r="A58" s="143" t="s">
        <v>46</v>
      </c>
      <c r="B58" s="144"/>
      <c r="C58" s="12">
        <v>2550</v>
      </c>
      <c r="D58" s="144" t="s">
        <v>40</v>
      </c>
      <c r="E58" s="144"/>
      <c r="F58" s="16">
        <v>2550</v>
      </c>
      <c r="G58" s="111"/>
    </row>
    <row r="59" spans="1:7" ht="13.5" thickBot="1" x14ac:dyDescent="0.25">
      <c r="A59" s="143" t="s">
        <v>45</v>
      </c>
      <c r="B59" s="144"/>
      <c r="C59" s="12">
        <v>2130</v>
      </c>
      <c r="D59" s="144" t="s">
        <v>40</v>
      </c>
      <c r="E59" s="144"/>
      <c r="F59" s="16">
        <v>2130</v>
      </c>
      <c r="G59" s="111"/>
    </row>
    <row r="60" spans="1:7" ht="14.25" thickTop="1" thickBot="1" x14ac:dyDescent="0.25">
      <c r="A60" s="158" t="s">
        <v>53</v>
      </c>
      <c r="B60" s="159"/>
      <c r="C60" s="159"/>
      <c r="D60" s="159"/>
      <c r="E60" s="159"/>
      <c r="F60" s="159"/>
      <c r="G60" s="178"/>
    </row>
    <row r="61" spans="1:7" ht="13.5" thickTop="1" x14ac:dyDescent="0.2">
      <c r="A61" s="142" t="s">
        <v>24</v>
      </c>
      <c r="B61" s="135"/>
      <c r="C61" s="179"/>
      <c r="D61" s="134" t="s">
        <v>25</v>
      </c>
      <c r="E61" s="135"/>
      <c r="F61" s="135"/>
      <c r="G61" s="136"/>
    </row>
    <row r="62" spans="1:7" x14ac:dyDescent="0.2">
      <c r="A62" s="145" t="s">
        <v>41</v>
      </c>
      <c r="B62" s="146"/>
      <c r="C62" s="4">
        <v>82</v>
      </c>
      <c r="D62" s="147" t="s">
        <v>41</v>
      </c>
      <c r="E62" s="146"/>
      <c r="F62" s="128">
        <v>82</v>
      </c>
      <c r="G62" s="129"/>
    </row>
    <row r="63" spans="1:7" ht="13.5" thickBot="1" x14ac:dyDescent="0.25">
      <c r="A63" s="148" t="s">
        <v>43</v>
      </c>
      <c r="B63" s="149"/>
      <c r="C63" s="77">
        <v>93</v>
      </c>
      <c r="D63" s="150" t="s">
        <v>42</v>
      </c>
      <c r="E63" s="149"/>
      <c r="F63" s="137">
        <v>93</v>
      </c>
      <c r="G63" s="138"/>
    </row>
    <row r="64" spans="1:7" ht="6.75" customHeight="1" thickBot="1" x14ac:dyDescent="0.25">
      <c r="A64" s="91"/>
      <c r="B64" s="14"/>
      <c r="C64" s="14"/>
      <c r="D64" s="14"/>
      <c r="E64" s="14"/>
      <c r="F64" s="14"/>
      <c r="G64" s="92"/>
    </row>
    <row r="65" spans="1:7" ht="14.25" thickTop="1" thickBot="1" x14ac:dyDescent="0.25">
      <c r="A65" s="158" t="s">
        <v>54</v>
      </c>
      <c r="B65" s="159"/>
      <c r="C65" s="159"/>
      <c r="D65" s="159"/>
      <c r="E65" s="159"/>
      <c r="F65" s="159"/>
      <c r="G65" s="178"/>
    </row>
    <row r="66" spans="1:7" ht="12.75" customHeight="1" thickTop="1" x14ac:dyDescent="0.2">
      <c r="A66" s="142" t="s">
        <v>55</v>
      </c>
      <c r="B66" s="135"/>
      <c r="C66" s="135"/>
      <c r="D66" s="135"/>
      <c r="E66" s="135"/>
      <c r="F66" s="135"/>
      <c r="G66" s="136"/>
    </row>
    <row r="67" spans="1:7" ht="13.5" thickBot="1" x14ac:dyDescent="0.25">
      <c r="A67" s="112" t="s">
        <v>56</v>
      </c>
      <c r="B67" s="87">
        <v>3000</v>
      </c>
      <c r="C67" s="113" t="s">
        <v>96</v>
      </c>
      <c r="D67" s="87">
        <v>1000</v>
      </c>
      <c r="E67" s="174" t="s">
        <v>57</v>
      </c>
      <c r="F67" s="174"/>
      <c r="G67" s="114">
        <f>(B67-D67)/600</f>
        <v>3.3333333333333335</v>
      </c>
    </row>
    <row r="68" spans="1:7" x14ac:dyDescent="0.2">
      <c r="A68" s="78"/>
      <c r="B68" s="51"/>
      <c r="C68" s="78"/>
      <c r="D68" s="51"/>
      <c r="E68" s="79"/>
      <c r="F68" s="79"/>
      <c r="G68" s="80"/>
    </row>
    <row r="69" spans="1:7" x14ac:dyDescent="0.2">
      <c r="A69" s="78"/>
      <c r="B69" s="51"/>
      <c r="C69" s="78"/>
      <c r="D69" s="51"/>
      <c r="E69" s="79"/>
      <c r="F69" s="79"/>
      <c r="G69" s="80"/>
    </row>
  </sheetData>
  <mergeCells count="39">
    <mergeCell ref="E67:F67"/>
    <mergeCell ref="A3:G3"/>
    <mergeCell ref="A19:C19"/>
    <mergeCell ref="D19:F19"/>
    <mergeCell ref="A65:G65"/>
    <mergeCell ref="A60:G60"/>
    <mergeCell ref="D61:G61"/>
    <mergeCell ref="A61:C61"/>
    <mergeCell ref="A1:G1"/>
    <mergeCell ref="A58:B58"/>
    <mergeCell ref="D58:E58"/>
    <mergeCell ref="A14:F14"/>
    <mergeCell ref="A34:B34"/>
    <mergeCell ref="C34:D34"/>
    <mergeCell ref="E34:F34"/>
    <mergeCell ref="A33:F33"/>
    <mergeCell ref="A2:G2"/>
    <mergeCell ref="A20:F20"/>
    <mergeCell ref="A5:G5"/>
    <mergeCell ref="A6:G6"/>
    <mergeCell ref="A66:G66"/>
    <mergeCell ref="A59:B59"/>
    <mergeCell ref="D59:E59"/>
    <mergeCell ref="A62:B62"/>
    <mergeCell ref="D62:E62"/>
    <mergeCell ref="A63:B63"/>
    <mergeCell ref="D63:E63"/>
    <mergeCell ref="F62:G62"/>
    <mergeCell ref="B45:D45"/>
    <mergeCell ref="A44:G44"/>
    <mergeCell ref="E45:G45"/>
    <mergeCell ref="F63:G63"/>
    <mergeCell ref="A57:D57"/>
    <mergeCell ref="E57:G57"/>
    <mergeCell ref="A8:F8"/>
    <mergeCell ref="A13:C13"/>
    <mergeCell ref="D13:F13"/>
    <mergeCell ref="A21:B21"/>
    <mergeCell ref="A22:B22"/>
  </mergeCells>
  <phoneticPr fontId="2" type="noConversion"/>
  <pageMargins left="0.75" right="0.75" top="0.5" bottom="1" header="0.5" footer="0.5"/>
  <pageSetup scale="85" fitToHeight="3" orientation="portrait" horizontalDpi="360" verticalDpi="360" r:id="rId1"/>
  <headerFooter alignWithMargins="0"/>
  <rowBreaks count="2" manualBreakCount="2">
    <brk id="68" max="16383" man="1"/>
    <brk id="122" max="16383" man="1"/>
  </rowBreaks>
  <ignoredErrors>
    <ignoredError sqref="F56 C5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35"/>
  <sheetViews>
    <sheetView topLeftCell="A4" workbookViewId="0">
      <selection activeCell="A10" sqref="A10"/>
    </sheetView>
  </sheetViews>
  <sheetFormatPr defaultRowHeight="12.75" x14ac:dyDescent="0.2"/>
  <cols>
    <col min="2" max="2" width="9.140625" style="15" customWidth="1"/>
  </cols>
  <sheetData>
    <row r="2" spans="1:5" ht="13.5" thickBot="1" x14ac:dyDescent="0.25"/>
    <row r="3" spans="1:5" ht="14.25" thickTop="1" thickBot="1" x14ac:dyDescent="0.25">
      <c r="A3" s="30" t="s">
        <v>67</v>
      </c>
      <c r="B3" s="31"/>
      <c r="C3" s="32"/>
      <c r="D3" s="32"/>
      <c r="E3" s="33"/>
    </row>
    <row r="4" spans="1:5" x14ac:dyDescent="0.2">
      <c r="A4" s="19" t="s">
        <v>68</v>
      </c>
      <c r="B4" s="20"/>
      <c r="C4" s="35"/>
      <c r="D4" s="21" t="s">
        <v>69</v>
      </c>
      <c r="E4" s="22"/>
    </row>
    <row r="5" spans="1:5" x14ac:dyDescent="0.2">
      <c r="A5" s="23" t="s">
        <v>30</v>
      </c>
      <c r="B5" s="24" t="s">
        <v>70</v>
      </c>
      <c r="C5" s="36"/>
      <c r="D5" s="25" t="s">
        <v>71</v>
      </c>
      <c r="E5" s="26" t="s">
        <v>70</v>
      </c>
    </row>
    <row r="6" spans="1:5" x14ac:dyDescent="0.2">
      <c r="A6" s="37">
        <v>98.4</v>
      </c>
      <c r="B6" s="38">
        <v>1200</v>
      </c>
      <c r="C6" s="34"/>
      <c r="D6" s="44">
        <v>82</v>
      </c>
      <c r="E6" s="45">
        <v>1200</v>
      </c>
    </row>
    <row r="7" spans="1:5" x14ac:dyDescent="0.2">
      <c r="A7" s="37">
        <v>135.30000000000001</v>
      </c>
      <c r="B7" s="38">
        <v>1650</v>
      </c>
      <c r="C7" s="34"/>
      <c r="D7" s="44">
        <v>82</v>
      </c>
      <c r="E7" s="45">
        <v>2050</v>
      </c>
    </row>
    <row r="8" spans="1:5" x14ac:dyDescent="0.2">
      <c r="A8" s="37">
        <v>159.9</v>
      </c>
      <c r="B8" s="38">
        <v>1950</v>
      </c>
      <c r="C8" s="34"/>
      <c r="D8" s="44">
        <v>84</v>
      </c>
      <c r="E8" s="45">
        <v>2200</v>
      </c>
    </row>
    <row r="9" spans="1:5" x14ac:dyDescent="0.2">
      <c r="A9" s="37">
        <v>195.5</v>
      </c>
      <c r="B9" s="38">
        <v>2300</v>
      </c>
      <c r="C9" s="34"/>
      <c r="D9" s="44">
        <v>86</v>
      </c>
      <c r="E9" s="45">
        <v>2350</v>
      </c>
    </row>
    <row r="10" spans="1:5" x14ac:dyDescent="0.2">
      <c r="A10" s="37">
        <v>225.6</v>
      </c>
      <c r="B10" s="38">
        <v>2550</v>
      </c>
      <c r="C10" s="34"/>
      <c r="D10" s="44">
        <v>88.5</v>
      </c>
      <c r="E10" s="45">
        <v>2550</v>
      </c>
    </row>
    <row r="11" spans="1:5" x14ac:dyDescent="0.2">
      <c r="A11" s="37">
        <v>237.15</v>
      </c>
      <c r="B11" s="38">
        <v>2550</v>
      </c>
      <c r="C11" s="34"/>
      <c r="D11" s="44">
        <v>93</v>
      </c>
      <c r="E11" s="45">
        <v>2550</v>
      </c>
    </row>
    <row r="12" spans="1:5" ht="13.5" thickBot="1" x14ac:dyDescent="0.25">
      <c r="A12" s="37">
        <v>111.6</v>
      </c>
      <c r="B12" s="38">
        <v>1200</v>
      </c>
      <c r="C12" s="34"/>
      <c r="D12" s="46">
        <v>93</v>
      </c>
      <c r="E12" s="47">
        <v>1200</v>
      </c>
    </row>
    <row r="13" spans="1:5" ht="13.5" thickTop="1" x14ac:dyDescent="0.2">
      <c r="A13" s="27"/>
      <c r="B13" s="27"/>
      <c r="C13" s="27"/>
      <c r="D13" s="28"/>
      <c r="E13" s="28"/>
    </row>
    <row r="14" spans="1:5" x14ac:dyDescent="0.2">
      <c r="A14" s="29"/>
      <c r="B14" s="29"/>
      <c r="C14" s="29"/>
      <c r="D14" s="29"/>
      <c r="E14" s="29"/>
    </row>
    <row r="15" spans="1:5" ht="13.5" thickBot="1" x14ac:dyDescent="0.25">
      <c r="A15" s="29"/>
      <c r="B15" s="29"/>
      <c r="C15" s="29"/>
      <c r="D15" s="29"/>
      <c r="E15" s="29"/>
    </row>
    <row r="16" spans="1:5" ht="14.25" thickTop="1" thickBot="1" x14ac:dyDescent="0.25">
      <c r="A16" s="30" t="s">
        <v>72</v>
      </c>
      <c r="B16" s="31"/>
      <c r="C16" s="32"/>
      <c r="D16" s="32"/>
      <c r="E16" s="33"/>
    </row>
    <row r="17" spans="1:5" x14ac:dyDescent="0.2">
      <c r="A17" s="19" t="s">
        <v>68</v>
      </c>
      <c r="B17" s="20"/>
      <c r="C17" s="35"/>
      <c r="D17" s="21" t="s">
        <v>69</v>
      </c>
      <c r="E17" s="22"/>
    </row>
    <row r="18" spans="1:5" x14ac:dyDescent="0.2">
      <c r="A18" s="23" t="s">
        <v>30</v>
      </c>
      <c r="B18" s="24" t="s">
        <v>70</v>
      </c>
      <c r="C18" s="36"/>
      <c r="D18" s="25" t="s">
        <v>71</v>
      </c>
      <c r="E18" s="26" t="s">
        <v>70</v>
      </c>
    </row>
    <row r="19" spans="1:5" x14ac:dyDescent="0.2">
      <c r="A19" s="37">
        <v>100.8</v>
      </c>
      <c r="B19" s="38">
        <v>1200</v>
      </c>
      <c r="C19" s="34"/>
      <c r="D19" s="44">
        <v>82</v>
      </c>
      <c r="E19" s="45">
        <v>1200</v>
      </c>
    </row>
    <row r="20" spans="1:5" x14ac:dyDescent="0.2">
      <c r="A20" s="37">
        <v>138.6</v>
      </c>
      <c r="B20" s="38">
        <v>1650</v>
      </c>
      <c r="C20" s="34"/>
      <c r="D20" s="44">
        <v>82</v>
      </c>
      <c r="E20" s="45">
        <v>1650</v>
      </c>
    </row>
    <row r="21" spans="1:5" x14ac:dyDescent="0.2">
      <c r="A21" s="37">
        <v>167.31</v>
      </c>
      <c r="B21" s="38">
        <v>1950</v>
      </c>
      <c r="C21" s="34"/>
      <c r="D21" s="44">
        <v>82</v>
      </c>
      <c r="E21" s="45">
        <v>2050</v>
      </c>
    </row>
    <row r="22" spans="1:5" x14ac:dyDescent="0.2">
      <c r="A22" s="37">
        <v>170.625</v>
      </c>
      <c r="B22" s="38">
        <v>1950</v>
      </c>
      <c r="C22" s="34"/>
      <c r="D22" s="44">
        <v>87.5</v>
      </c>
      <c r="E22" s="45">
        <v>2125</v>
      </c>
    </row>
    <row r="23" spans="1:5" ht="13.5" thickBot="1" x14ac:dyDescent="0.25">
      <c r="A23" s="39">
        <v>105</v>
      </c>
      <c r="B23" s="38">
        <v>1200</v>
      </c>
      <c r="C23" s="34"/>
      <c r="D23" s="46">
        <v>93</v>
      </c>
      <c r="E23" s="47">
        <v>2125</v>
      </c>
    </row>
    <row r="24" spans="1:5" ht="13.5" thickTop="1" x14ac:dyDescent="0.2"/>
    <row r="27" spans="1:5" x14ac:dyDescent="0.2">
      <c r="A27" s="40"/>
      <c r="B27" s="41" t="s">
        <v>31</v>
      </c>
      <c r="C27" s="41" t="s">
        <v>30</v>
      </c>
      <c r="D27" s="41" t="s">
        <v>70</v>
      </c>
    </row>
    <row r="28" spans="1:5" x14ac:dyDescent="0.2">
      <c r="A28" s="40"/>
      <c r="B28" s="43" t="s">
        <v>75</v>
      </c>
      <c r="C28" s="42">
        <v>0</v>
      </c>
      <c r="D28" s="42">
        <v>0</v>
      </c>
    </row>
    <row r="29" spans="1:5" x14ac:dyDescent="0.2">
      <c r="A29" s="40"/>
      <c r="B29" s="42"/>
      <c r="C29" s="42">
        <v>34</v>
      </c>
      <c r="D29" s="42">
        <v>420</v>
      </c>
    </row>
    <row r="30" spans="1:5" x14ac:dyDescent="0.2">
      <c r="A30" s="40"/>
      <c r="B30" s="42" t="s">
        <v>38</v>
      </c>
      <c r="C30" s="42">
        <v>0</v>
      </c>
      <c r="D30" s="42">
        <v>0</v>
      </c>
    </row>
    <row r="31" spans="1:5" x14ac:dyDescent="0.2">
      <c r="A31" s="40"/>
      <c r="B31" s="42"/>
      <c r="C31" s="42">
        <v>28</v>
      </c>
      <c r="D31" s="42">
        <v>300</v>
      </c>
    </row>
    <row r="32" spans="1:5" x14ac:dyDescent="0.2">
      <c r="A32" s="40"/>
      <c r="B32" s="43" t="s">
        <v>74</v>
      </c>
      <c r="C32" s="42">
        <v>0</v>
      </c>
      <c r="D32" s="42">
        <v>0</v>
      </c>
    </row>
    <row r="33" spans="1:4" x14ac:dyDescent="0.2">
      <c r="A33" s="40"/>
      <c r="B33" s="42"/>
      <c r="C33" s="42">
        <v>40</v>
      </c>
      <c r="D33" s="42">
        <v>340</v>
      </c>
    </row>
    <row r="34" spans="1:4" x14ac:dyDescent="0.2">
      <c r="A34" s="40"/>
      <c r="B34" s="42" t="s">
        <v>73</v>
      </c>
      <c r="C34" s="42">
        <v>0</v>
      </c>
      <c r="D34" s="42">
        <v>0</v>
      </c>
    </row>
    <row r="35" spans="1:4" x14ac:dyDescent="0.2">
      <c r="A35" s="40"/>
      <c r="B35" s="42"/>
      <c r="C35" s="42">
        <v>28</v>
      </c>
      <c r="D35" s="42">
        <v>200</v>
      </c>
    </row>
  </sheetData>
  <phoneticPr fontId="2" type="noConversion"/>
  <pageMargins left="0.75" right="0.75" top="1" bottom="1" header="0.5" footer="0.5"/>
  <pageSetup paperSize="0" orientation="portrait" horizontalDpi="0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Archer FAR91.103</vt:lpstr>
      <vt:lpstr>Archer Seed Data</vt:lpstr>
    </vt:vector>
  </TitlesOfParts>
  <Company>DST Systems,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Jones,Bill</cp:lastModifiedBy>
  <cp:lastPrinted>2019-07-02T21:49:59Z</cp:lastPrinted>
  <dcterms:created xsi:type="dcterms:W3CDTF">2003-04-17T19:00:23Z</dcterms:created>
  <dcterms:modified xsi:type="dcterms:W3CDTF">2019-07-03T03:25:52Z</dcterms:modified>
</cp:coreProperties>
</file>