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027701\Desktop\"/>
    </mc:Choice>
  </mc:AlternateContent>
  <xr:revisionPtr revIDLastSave="0" documentId="13_ncr:1_{1B69DD6B-EC74-48BE-8455-392CC0BB2141}" xr6:coauthVersionLast="36" xr6:coauthVersionMax="36" xr10:uidLastSave="{00000000-0000-0000-0000-000000000000}"/>
  <bookViews>
    <workbookView xWindow="32760" yWindow="32760" windowWidth="16905" windowHeight="11190" xr2:uid="{00000000-000D-0000-FFFF-FFFF00000000}"/>
  </bookViews>
  <sheets>
    <sheet name="Saratoga FAR91.103" sheetId="1" r:id="rId1"/>
    <sheet name="Saratoga Seed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F10" i="1"/>
  <c r="B10" i="1" s="1"/>
  <c r="B11" i="1" s="1"/>
  <c r="F8" i="1" s="1"/>
  <c r="D10" i="1"/>
  <c r="F11" i="1" s="1"/>
  <c r="A12" i="1" s="1"/>
  <c r="F9" i="1"/>
  <c r="B8" i="1"/>
  <c r="B54" i="1"/>
  <c r="B58" i="1" s="1"/>
  <c r="C65" i="1" s="1"/>
  <c r="D48" i="1"/>
  <c r="G48" i="1"/>
  <c r="D52" i="1"/>
  <c r="D50" i="1"/>
  <c r="G50" i="1"/>
  <c r="D51" i="1"/>
  <c r="G51" i="1" s="1"/>
  <c r="B32" i="1"/>
  <c r="E56" i="1"/>
  <c r="B56" i="1"/>
  <c r="D56" i="1" s="1"/>
  <c r="D49" i="1"/>
  <c r="G49" i="1"/>
  <c r="D47" i="1"/>
  <c r="D57" i="1"/>
  <c r="F56" i="1"/>
  <c r="A53" i="1"/>
  <c r="F52" i="1"/>
  <c r="E52" i="1"/>
  <c r="F17" i="1"/>
  <c r="B17" i="1" s="1"/>
  <c r="B18" i="1" s="1"/>
  <c r="F15" i="1" s="1"/>
  <c r="G74" i="1"/>
  <c r="E48" i="1"/>
  <c r="F48" i="1"/>
  <c r="F50" i="1"/>
  <c r="E50" i="1"/>
  <c r="B15" i="1"/>
  <c r="F25" i="1"/>
  <c r="D17" i="1"/>
  <c r="D18" i="1"/>
  <c r="D26" i="1"/>
  <c r="D25" i="1"/>
  <c r="D24" i="1"/>
  <c r="D27" i="1"/>
  <c r="G26" i="1"/>
  <c r="G25" i="1"/>
  <c r="F26" i="1"/>
  <c r="F16" i="1"/>
  <c r="F32" i="1"/>
  <c r="E47" i="1"/>
  <c r="F47" i="1"/>
  <c r="G47" i="1"/>
  <c r="E49" i="1"/>
  <c r="F49" i="1"/>
  <c r="E51" i="1"/>
  <c r="F51" i="1"/>
  <c r="F18" i="1"/>
  <c r="A19" i="1"/>
  <c r="G56" i="1"/>
  <c r="G52" i="1"/>
  <c r="E54" i="1" l="1"/>
  <c r="E58" i="1" s="1"/>
  <c r="F65" i="1" s="1"/>
  <c r="D54" i="1"/>
  <c r="D58" i="1" s="1"/>
  <c r="C58" i="1" s="1"/>
  <c r="E59" i="1" s="1"/>
  <c r="G54" i="1"/>
  <c r="G58" i="1" s="1"/>
  <c r="F58" i="1" s="1"/>
  <c r="E60" i="1" s="1"/>
  <c r="A59" i="1"/>
  <c r="D19" i="1"/>
  <c r="B28" i="1"/>
  <c r="D28" i="1" s="1"/>
  <c r="D12" i="1"/>
  <c r="C54" i="1" l="1"/>
  <c r="F54" i="1" s="1"/>
  <c r="B29" i="1"/>
  <c r="D29" i="1" s="1"/>
</calcChain>
</file>

<file path=xl/sharedStrings.xml><?xml version="1.0" encoding="utf-8"?>
<sst xmlns="http://schemas.openxmlformats.org/spreadsheetml/2006/main" count="146" uniqueCount="108">
  <si>
    <t>Takeoff Distance</t>
  </si>
  <si>
    <t>Landing Distance</t>
  </si>
  <si>
    <t>Fuel on Board</t>
  </si>
  <si>
    <t>Fuel Burn Per hour</t>
  </si>
  <si>
    <t>Fuel Time Onboard</t>
  </si>
  <si>
    <t>Fuel Required</t>
  </si>
  <si>
    <t>V1</t>
  </si>
  <si>
    <t>Vlof</t>
  </si>
  <si>
    <t>V2</t>
  </si>
  <si>
    <t>Vref</t>
  </si>
  <si>
    <t>Vnorm</t>
  </si>
  <si>
    <t>Vobst</t>
  </si>
  <si>
    <t>Vle</t>
  </si>
  <si>
    <t>Vno</t>
  </si>
  <si>
    <t>Vne</t>
  </si>
  <si>
    <t>Takeoff</t>
  </si>
  <si>
    <t>Landing</t>
  </si>
  <si>
    <t>Limitations</t>
  </si>
  <si>
    <t>Weight and Balance</t>
  </si>
  <si>
    <t xml:space="preserve">Weight </t>
  </si>
  <si>
    <t>Arm</t>
  </si>
  <si>
    <t>Moment</t>
  </si>
  <si>
    <t>Item</t>
  </si>
  <si>
    <t>Aircraft</t>
  </si>
  <si>
    <t>Front Seats</t>
  </si>
  <si>
    <t>Rear Seats</t>
  </si>
  <si>
    <t>Subtotal</t>
  </si>
  <si>
    <t>Max O Fuel Wt.</t>
  </si>
  <si>
    <t>Fuel</t>
  </si>
  <si>
    <t>Total</t>
  </si>
  <si>
    <t>Max Landing</t>
  </si>
  <si>
    <t>Max Takeoff Utility</t>
  </si>
  <si>
    <t>Max Takeoff Normal</t>
  </si>
  <si>
    <t>Flight time (Hours)</t>
  </si>
  <si>
    <t>OAT (F)</t>
  </si>
  <si>
    <t>OAT (C)</t>
  </si>
  <si>
    <t>Density Alt (ft)</t>
  </si>
  <si>
    <t>Pressure Alt (ft)</t>
  </si>
  <si>
    <t xml:space="preserve">Alt Setting </t>
  </si>
  <si>
    <t>Center of Gravity Limits</t>
  </si>
  <si>
    <t>Glide Range</t>
  </si>
  <si>
    <t>Cruise Altitude</t>
  </si>
  <si>
    <t>Glide Range (Nautical Miles)</t>
  </si>
  <si>
    <t>Landing Runway</t>
  </si>
  <si>
    <t>T/O Crosswind Comp</t>
  </si>
  <si>
    <t>T/O Headwind Comp.</t>
  </si>
  <si>
    <t>Land Crosswind Comp</t>
  </si>
  <si>
    <t>Land Headwind Comp.</t>
  </si>
  <si>
    <t>Land Wind Direction</t>
  </si>
  <si>
    <t>Land Velocity KTS</t>
  </si>
  <si>
    <t>T/O Wind Direction</t>
  </si>
  <si>
    <t>T/O Velocity KTS</t>
  </si>
  <si>
    <t>PA28-180 Weight and Balance Envelope (Normal)</t>
  </si>
  <si>
    <t>Moment Env</t>
  </si>
  <si>
    <t>CG Envelope</t>
  </si>
  <si>
    <t>Weight</t>
  </si>
  <si>
    <t>CG Locn</t>
  </si>
  <si>
    <t>Aft Pass</t>
  </si>
  <si>
    <t>Front Pass</t>
  </si>
  <si>
    <t>Fuel Allowance</t>
  </si>
  <si>
    <t>Vapor pressure</t>
  </si>
  <si>
    <t>Virtual Temp Kelvin</t>
  </si>
  <si>
    <t>Virtual Temp Rankin</t>
  </si>
  <si>
    <t>Millibars Mercury</t>
  </si>
  <si>
    <t>Dewpoint (C)</t>
  </si>
  <si>
    <t>Dewpoint (F)</t>
  </si>
  <si>
    <t>Wind Information</t>
  </si>
  <si>
    <t>Departure</t>
  </si>
  <si>
    <t>Arrival</t>
  </si>
  <si>
    <t>Takeoff Runway</t>
  </si>
  <si>
    <t>Takeoff Field Elevation</t>
  </si>
  <si>
    <t>Dewpoint Spread (F)</t>
  </si>
  <si>
    <t>Landing Field Elevation</t>
  </si>
  <si>
    <t>N/A</t>
  </si>
  <si>
    <t>Vyse (Enroute)</t>
  </si>
  <si>
    <t>Vx (Best Angle)</t>
  </si>
  <si>
    <t>Vy (Best Rate)</t>
  </si>
  <si>
    <t>Vr (Rotate)</t>
  </si>
  <si>
    <t>Vl/d (Glide)</t>
  </si>
  <si>
    <t>Vso (Dirty stall)</t>
  </si>
  <si>
    <t>Vs1 (Clean Stall)</t>
  </si>
  <si>
    <t>Va (Maneuver)</t>
  </si>
  <si>
    <t>Vfe (Flap ext)</t>
  </si>
  <si>
    <t>Takeoff Dist 50' Obst.</t>
  </si>
  <si>
    <t>Landing Dist 50' Obst.</t>
  </si>
  <si>
    <t>CTAF 122.8             ASOS 124.175            Coordinates N38-57.59; W094-22.30</t>
  </si>
  <si>
    <t>Fill in yellow cells and all other data will be calculated. (Some values need to be customized once, to match your specific aircraft)</t>
  </si>
  <si>
    <t>PIC's are ultimately responsible for all calculations, and he/she must ensure all values calculated herein are correct.</t>
  </si>
  <si>
    <t>Terrain Altitude</t>
  </si>
  <si>
    <t>Center Seats</t>
  </si>
  <si>
    <t>Front Baggage</t>
  </si>
  <si>
    <t>Aft Baggage</t>
  </si>
  <si>
    <t>Preflight Action (FAR 91.103) for Saratoga N4336D PA32-301</t>
  </si>
  <si>
    <t>Center Pass</t>
  </si>
  <si>
    <t>74-80</t>
  </si>
  <si>
    <t xml:space="preserve">Lee's Summit Airport 816-969-1186       LS ASOS 816-347-9807       Columbia FSS 866-223-4352 </t>
  </si>
  <si>
    <t>Useful Load 1380.50</t>
  </si>
  <si>
    <t>CG Limit Foreward</t>
  </si>
  <si>
    <t>CG Limit Aft</t>
  </si>
  <si>
    <t>All weights</t>
  </si>
  <si>
    <t>3600 Lbs</t>
  </si>
  <si>
    <t>2225 Lbs</t>
  </si>
  <si>
    <t>V-Speeds  (KIAS)</t>
  </si>
  <si>
    <t>Power off, Flaps up 80 KIAS, 3600 Lbs No wind</t>
  </si>
  <si>
    <t>Calculated CG Limits Aft</t>
  </si>
  <si>
    <t>Calculated CG Limits Forward</t>
  </si>
  <si>
    <t>T/O Weather Calculations</t>
  </si>
  <si>
    <t>Landing Weather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</si>
</sst>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\ \ "/>
    <numFmt numFmtId="166" formatCode="#,##0\ \ 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</font>
    <font>
      <sz val="9"/>
      <name val="Arial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Arial"/>
    </font>
    <font>
      <sz val="10"/>
      <color indexed="63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8"/>
      <color indexed="8"/>
      <name val="Arial"/>
      <family val="2"/>
    </font>
    <font>
      <b/>
      <sz val="9"/>
      <color indexed="48"/>
      <name val="Arial"/>
      <family val="2"/>
    </font>
    <font>
      <sz val="10"/>
      <name val="Arial"/>
    </font>
    <font>
      <b/>
      <u/>
      <sz val="10"/>
      <color indexed="18"/>
      <name val="Arial"/>
      <family val="2"/>
    </font>
    <font>
      <b/>
      <u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1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Border="1"/>
    <xf numFmtId="1" fontId="0" fillId="0" borderId="0" xfId="0" applyNumberFormat="1"/>
    <xf numFmtId="0" fontId="3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/>
    <xf numFmtId="0" fontId="8" fillId="0" borderId="0" xfId="0" applyFont="1"/>
    <xf numFmtId="0" fontId="7" fillId="2" borderId="12" xfId="0" applyFont="1" applyFill="1" applyBorder="1" applyAlignment="1">
      <alignment horizontal="left"/>
    </xf>
    <xf numFmtId="164" fontId="8" fillId="2" borderId="11" xfId="0" applyNumberFormat="1" applyFont="1" applyFill="1" applyBorder="1"/>
    <xf numFmtId="0" fontId="8" fillId="2" borderId="11" xfId="0" applyFont="1" applyFill="1" applyBorder="1"/>
    <xf numFmtId="164" fontId="8" fillId="2" borderId="13" xfId="0" applyNumberFormat="1" applyFont="1" applyFill="1" applyBorder="1"/>
    <xf numFmtId="0" fontId="8" fillId="2" borderId="14" xfId="0" applyFont="1" applyFill="1" applyBorder="1"/>
    <xf numFmtId="0" fontId="8" fillId="2" borderId="5" xfId="0" applyFont="1" applyFill="1" applyBorder="1"/>
    <xf numFmtId="0" fontId="8" fillId="2" borderId="14" xfId="0" applyFont="1" applyFill="1" applyBorder="1" applyAlignment="1">
      <alignment horizontal="center"/>
    </xf>
    <xf numFmtId="165" fontId="8" fillId="2" borderId="7" xfId="0" applyNumberFormat="1" applyFont="1" applyFill="1" applyBorder="1"/>
    <xf numFmtId="166" fontId="8" fillId="2" borderId="8" xfId="0" applyNumberFormat="1" applyFont="1" applyFill="1" applyBorder="1" applyAlignment="1">
      <alignment horizontal="right"/>
    </xf>
    <xf numFmtId="0" fontId="9" fillId="0" borderId="0" xfId="1"/>
    <xf numFmtId="0" fontId="10" fillId="0" borderId="1" xfId="1" applyFont="1" applyBorder="1"/>
    <xf numFmtId="0" fontId="9" fillId="0" borderId="1" xfId="1" applyBorder="1"/>
    <xf numFmtId="0" fontId="9" fillId="0" borderId="1" xfId="1" applyFont="1" applyBorder="1"/>
    <xf numFmtId="165" fontId="8" fillId="3" borderId="9" xfId="0" applyNumberFormat="1" applyFont="1" applyFill="1" applyBorder="1"/>
    <xf numFmtId="166" fontId="8" fillId="3" borderId="10" xfId="0" applyNumberFormat="1" applyFont="1" applyFill="1" applyBorder="1"/>
    <xf numFmtId="165" fontId="8" fillId="3" borderId="15" xfId="0" applyNumberFormat="1" applyFont="1" applyFill="1" applyBorder="1"/>
    <xf numFmtId="166" fontId="8" fillId="3" borderId="16" xfId="0" applyNumberFormat="1" applyFont="1" applyFill="1" applyBorder="1"/>
    <xf numFmtId="0" fontId="0" fillId="0" borderId="1" xfId="0" applyFill="1" applyBorder="1"/>
    <xf numFmtId="2" fontId="0" fillId="0" borderId="0" xfId="0" applyNumberFormat="1"/>
    <xf numFmtId="1" fontId="0" fillId="0" borderId="0" xfId="0" applyNumberFormat="1" applyBorder="1"/>
    <xf numFmtId="0" fontId="12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2" fillId="0" borderId="0" xfId="0" applyFont="1" applyBorder="1"/>
    <xf numFmtId="2" fontId="0" fillId="0" borderId="17" xfId="0" applyNumberFormat="1" applyBorder="1"/>
    <xf numFmtId="0" fontId="0" fillId="0" borderId="18" xfId="0" applyBorder="1"/>
    <xf numFmtId="0" fontId="0" fillId="0" borderId="17" xfId="0" applyFill="1" applyBorder="1"/>
    <xf numFmtId="0" fontId="0" fillId="0" borderId="17" xfId="0" applyBorder="1"/>
    <xf numFmtId="1" fontId="1" fillId="0" borderId="1" xfId="0" applyNumberFormat="1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2" fontId="0" fillId="0" borderId="2" xfId="0" applyNumberFormat="1" applyBorder="1"/>
    <xf numFmtId="0" fontId="4" fillId="0" borderId="18" xfId="0" applyFont="1" applyBorder="1"/>
    <xf numFmtId="2" fontId="0" fillId="0" borderId="19" xfId="0" applyNumberFormat="1" applyBorder="1"/>
    <xf numFmtId="0" fontId="1" fillId="0" borderId="2" xfId="0" applyFont="1" applyBorder="1"/>
    <xf numFmtId="0" fontId="1" fillId="0" borderId="20" xfId="0" applyFont="1" applyBorder="1"/>
    <xf numFmtId="0" fontId="1" fillId="0" borderId="21" xfId="0" applyFont="1" applyBorder="1"/>
    <xf numFmtId="164" fontId="4" fillId="0" borderId="22" xfId="0" applyNumberFormat="1" applyFont="1" applyFill="1" applyBorder="1"/>
    <xf numFmtId="164" fontId="4" fillId="0" borderId="22" xfId="0" applyNumberFormat="1" applyFont="1" applyBorder="1"/>
    <xf numFmtId="2" fontId="0" fillId="0" borderId="0" xfId="0" applyNumberFormat="1" applyBorder="1"/>
    <xf numFmtId="2" fontId="13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0" fillId="0" borderId="0" xfId="0" applyNumberFormat="1"/>
    <xf numFmtId="1" fontId="0" fillId="0" borderId="17" xfId="0" applyNumberFormat="1" applyBorder="1"/>
    <xf numFmtId="0" fontId="13" fillId="0" borderId="0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4" xfId="0" applyBorder="1"/>
    <xf numFmtId="164" fontId="1" fillId="0" borderId="17" xfId="0" applyNumberFormat="1" applyFont="1" applyBorder="1"/>
    <xf numFmtId="164" fontId="0" fillId="0" borderId="17" xfId="0" applyNumberFormat="1" applyBorder="1"/>
    <xf numFmtId="0" fontId="0" fillId="0" borderId="24" xfId="0" applyFill="1" applyBorder="1"/>
    <xf numFmtId="0" fontId="3" fillId="0" borderId="25" xfId="0" applyFont="1" applyBorder="1"/>
    <xf numFmtId="164" fontId="4" fillId="0" borderId="26" xfId="0" applyNumberFormat="1" applyFont="1" applyBorder="1"/>
    <xf numFmtId="0" fontId="1" fillId="0" borderId="18" xfId="0" applyFont="1" applyBorder="1" applyAlignment="1">
      <alignment horizontal="center"/>
    </xf>
    <xf numFmtId="0" fontId="3" fillId="0" borderId="27" xfId="0" applyFont="1" applyBorder="1"/>
    <xf numFmtId="0" fontId="3" fillId="0" borderId="18" xfId="0" applyFont="1" applyBorder="1"/>
    <xf numFmtId="164" fontId="4" fillId="0" borderId="19" xfId="0" applyNumberFormat="1" applyFont="1" applyBorder="1" applyAlignment="1">
      <alignment horizontal="center"/>
    </xf>
    <xf numFmtId="0" fontId="0" fillId="0" borderId="14" xfId="0" applyBorder="1"/>
    <xf numFmtId="0" fontId="0" fillId="0" borderId="28" xfId="0" applyBorder="1"/>
    <xf numFmtId="0" fontId="1" fillId="0" borderId="24" xfId="0" applyFont="1" applyBorder="1"/>
    <xf numFmtId="0" fontId="12" fillId="0" borderId="14" xfId="0" applyFont="1" applyFill="1" applyBorder="1"/>
    <xf numFmtId="0" fontId="0" fillId="0" borderId="23" xfId="0" applyBorder="1"/>
    <xf numFmtId="0" fontId="4" fillId="0" borderId="28" xfId="0" applyFont="1" applyBorder="1"/>
    <xf numFmtId="0" fontId="0" fillId="0" borderId="27" xfId="0" applyBorder="1"/>
    <xf numFmtId="0" fontId="11" fillId="0" borderId="1" xfId="1" applyFont="1" applyBorder="1"/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0" fillId="0" borderId="34" xfId="0" applyBorder="1"/>
    <xf numFmtId="164" fontId="0" fillId="0" borderId="35" xfId="0" applyNumberFormat="1" applyBorder="1"/>
    <xf numFmtId="164" fontId="1" fillId="0" borderId="35" xfId="0" applyNumberFormat="1" applyFont="1" applyBorder="1"/>
    <xf numFmtId="164" fontId="0" fillId="0" borderId="36" xfId="0" applyNumberFormat="1" applyBorder="1"/>
    <xf numFmtId="164" fontId="0" fillId="0" borderId="2" xfId="0" applyNumberFormat="1" applyFill="1" applyBorder="1"/>
    <xf numFmtId="164" fontId="0" fillId="0" borderId="2" xfId="0" applyNumberFormat="1" applyBorder="1"/>
    <xf numFmtId="164" fontId="0" fillId="0" borderId="31" xfId="0" applyNumberFormat="1" applyBorder="1"/>
    <xf numFmtId="0" fontId="4" fillId="0" borderId="37" xfId="0" applyFont="1" applyBorder="1" applyAlignment="1"/>
    <xf numFmtId="0" fontId="4" fillId="0" borderId="38" xfId="0" applyFont="1" applyBorder="1" applyAlignment="1"/>
    <xf numFmtId="0" fontId="20" fillId="0" borderId="38" xfId="0" applyFont="1" applyBorder="1" applyAlignment="1"/>
    <xf numFmtId="0" fontId="19" fillId="0" borderId="38" xfId="0" applyFont="1" applyBorder="1" applyAlignment="1"/>
    <xf numFmtId="0" fontId="0" fillId="0" borderId="38" xfId="0" applyBorder="1"/>
    <xf numFmtId="0" fontId="0" fillId="0" borderId="39" xfId="0" applyBorder="1"/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0" borderId="14" xfId="0" applyFill="1" applyBorder="1"/>
    <xf numFmtId="1" fontId="0" fillId="0" borderId="0" xfId="0" applyNumberFormat="1" applyFill="1" applyBorder="1"/>
    <xf numFmtId="164" fontId="1" fillId="0" borderId="47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8" fillId="6" borderId="1" xfId="0" applyFont="1" applyFill="1" applyBorder="1"/>
    <xf numFmtId="1" fontId="18" fillId="6" borderId="1" xfId="0" applyNumberFormat="1" applyFont="1" applyFill="1" applyBorder="1"/>
    <xf numFmtId="2" fontId="18" fillId="6" borderId="1" xfId="0" applyNumberFormat="1" applyFont="1" applyFill="1" applyBorder="1"/>
    <xf numFmtId="0" fontId="18" fillId="6" borderId="2" xfId="0" applyFont="1" applyFill="1" applyBorder="1"/>
    <xf numFmtId="0" fontId="18" fillId="6" borderId="31" xfId="0" applyFont="1" applyFill="1" applyBorder="1"/>
    <xf numFmtId="0" fontId="18" fillId="6" borderId="17" xfId="0" applyFont="1" applyFill="1" applyBorder="1"/>
    <xf numFmtId="164" fontId="0" fillId="7" borderId="1" xfId="0" applyNumberFormat="1" applyFill="1" applyBorder="1"/>
    <xf numFmtId="164" fontId="0" fillId="7" borderId="35" xfId="0" applyNumberFormat="1" applyFill="1" applyBorder="1"/>
    <xf numFmtId="0" fontId="1" fillId="7" borderId="1" xfId="0" applyFont="1" applyFill="1" applyBorder="1"/>
    <xf numFmtId="0" fontId="0" fillId="7" borderId="18" xfId="0" applyFill="1" applyBorder="1"/>
    <xf numFmtId="0" fontId="0" fillId="7" borderId="17" xfId="0" applyFill="1" applyBorder="1"/>
    <xf numFmtId="0" fontId="1" fillId="7" borderId="18" xfId="0" applyFont="1" applyFill="1" applyBorder="1"/>
    <xf numFmtId="0" fontId="3" fillId="8" borderId="23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55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8" borderId="53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</cellXfs>
  <cellStyles count="2">
    <cellStyle name="Normal" xfId="0" builtinId="0"/>
    <cellStyle name="Normal_Archer Seed Data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Aircraft CG (Normal Category)</a:t>
            </a:r>
          </a:p>
        </c:rich>
      </c:tx>
      <c:layout>
        <c:manualLayout>
          <c:xMode val="edge"/>
          <c:yMode val="edge"/>
          <c:x val="0.28955237738139872"/>
          <c:y val="3.043485030472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22636982952"/>
          <c:y val="0.18657971355580275"/>
          <c:w val="0.78306898537455194"/>
          <c:h val="0.61865905021134582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'Saratoga Seed Data'!$D$6:$D$12</c:f>
              <c:numCache>
                <c:formatCode>0.00\ \ </c:formatCode>
                <c:ptCount val="7"/>
                <c:pt idx="0">
                  <c:v>78</c:v>
                </c:pt>
                <c:pt idx="1">
                  <c:v>78</c:v>
                </c:pt>
                <c:pt idx="2">
                  <c:v>83.5</c:v>
                </c:pt>
                <c:pt idx="3">
                  <c:v>88</c:v>
                </c:pt>
                <c:pt idx="4">
                  <c:v>90</c:v>
                </c:pt>
                <c:pt idx="5">
                  <c:v>95</c:v>
                </c:pt>
                <c:pt idx="6">
                  <c:v>95</c:v>
                </c:pt>
              </c:numCache>
            </c:numRef>
          </c:xVal>
          <c:yVal>
            <c:numRef>
              <c:f>'Saratoga Seed Data'!$E$6:$E$12</c:f>
              <c:numCache>
                <c:formatCode>#,##0\ \ </c:formatCode>
                <c:ptCount val="7"/>
                <c:pt idx="0">
                  <c:v>2219</c:v>
                </c:pt>
                <c:pt idx="1">
                  <c:v>2400</c:v>
                </c:pt>
                <c:pt idx="2">
                  <c:v>3200</c:v>
                </c:pt>
                <c:pt idx="3">
                  <c:v>3500</c:v>
                </c:pt>
                <c:pt idx="4">
                  <c:v>3600</c:v>
                </c:pt>
                <c:pt idx="5">
                  <c:v>3600</c:v>
                </c:pt>
                <c:pt idx="6">
                  <c:v>2219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5-407F-AD06-F538C943A4A3}"/>
            </c:ext>
          </c:extLst>
        </c:ser>
        <c:ser>
          <c:idx val="1"/>
          <c:order val="1"/>
          <c:tx>
            <c:v>T/O CG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'Saratoga FAR91.103'!$C$58</c:f>
              <c:numCache>
                <c:formatCode>0.0</c:formatCode>
                <c:ptCount val="1"/>
                <c:pt idx="0">
                  <c:v>85.879561535146664</c:v>
                </c:pt>
              </c:numCache>
            </c:numRef>
          </c:xVal>
          <c:yVal>
            <c:numRef>
              <c:f>'Saratoga FAR91.103'!$B$58</c:f>
              <c:numCache>
                <c:formatCode>0.0</c:formatCode>
                <c:ptCount val="1"/>
                <c:pt idx="0">
                  <c:v>3051.5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5-407F-AD06-F538C943A4A3}"/>
            </c:ext>
          </c:extLst>
        </c:ser>
        <c:ser>
          <c:idx val="2"/>
          <c:order val="2"/>
          <c:tx>
            <c:v>Landing CG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'Saratoga FAR91.103'!$F$58</c:f>
              <c:numCache>
                <c:formatCode>0.0</c:formatCode>
                <c:ptCount val="1"/>
                <c:pt idx="0">
                  <c:v>84.73835994188002</c:v>
                </c:pt>
              </c:numCache>
            </c:numRef>
          </c:xVal>
          <c:yVal>
            <c:numRef>
              <c:f>'Saratoga FAR91.103'!$E$58</c:f>
              <c:numCache>
                <c:formatCode>0.0</c:formatCode>
                <c:ptCount val="1"/>
                <c:pt idx="0">
                  <c:v>2675.5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C5-407F-AD06-F538C943A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396672"/>
        <c:axId val="1"/>
      </c:scatterChart>
      <c:valAx>
        <c:axId val="333396672"/>
        <c:scaling>
          <c:orientation val="minMax"/>
          <c:max val="96"/>
          <c:min val="7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34029889121002732"/>
              <c:y val="0.873913875172383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"/>
        <c:crossesAt val="1200"/>
        <c:crossBetween val="midCat"/>
        <c:majorUnit val="2"/>
        <c:minorUnit val="0.5"/>
      </c:valAx>
      <c:valAx>
        <c:axId val="1"/>
        <c:scaling>
          <c:orientation val="minMax"/>
          <c:max val="38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      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243644290226433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33396672"/>
        <c:crossesAt val="77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982057068108586"/>
          <c:y val="0.10752716399730135"/>
          <c:w val="0.62513247926156568"/>
          <c:h val="0.74193743158137915"/>
        </c:manualLayout>
      </c:layout>
      <c:scatterChart>
        <c:scatterStyle val="lineMarker"/>
        <c:varyColors val="0"/>
        <c:ser>
          <c:idx val="1"/>
          <c:order val="0"/>
          <c:tx>
            <c:v>Front Baggage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'Saratoga Seed Data'!$C$17:$C$18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'Saratoga Seed Data'!$D$17:$D$18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E-4C35-8AE3-E7BE7D38FE83}"/>
            </c:ext>
          </c:extLst>
        </c:ser>
        <c:ser>
          <c:idx val="0"/>
          <c:order val="1"/>
          <c:tx>
            <c:v>Pilot and Front Passenger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'Saratoga Seed Data'!$C$19:$C$20</c:f>
              <c:numCache>
                <c:formatCode>General</c:formatCode>
                <c:ptCount val="2"/>
                <c:pt idx="0">
                  <c:v>0</c:v>
                </c:pt>
                <c:pt idx="1">
                  <c:v>42</c:v>
                </c:pt>
              </c:numCache>
            </c:numRef>
          </c:xVal>
          <c:yVal>
            <c:numRef>
              <c:f>'Saratoga Seed Data'!$D$19:$D$20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5E-4C35-8AE3-E7BE7D38FE83}"/>
            </c:ext>
          </c:extLst>
        </c:ser>
        <c:ser>
          <c:idx val="2"/>
          <c:order val="2"/>
          <c:tx>
            <c:v>Center Passengers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'Saratoga Seed Data'!$C$21:$C$22</c:f>
              <c:numCache>
                <c:formatCode>General</c:formatCode>
                <c:ptCount val="2"/>
                <c:pt idx="0">
                  <c:v>0</c:v>
                </c:pt>
                <c:pt idx="1">
                  <c:v>64</c:v>
                </c:pt>
              </c:numCache>
            </c:numRef>
          </c:xVal>
          <c:yVal>
            <c:numRef>
              <c:f>'Saratoga Seed Data'!$D$21:$D$22</c:f>
              <c:numCache>
                <c:formatCode>General</c:formatCode>
                <c:ptCount val="2"/>
                <c:pt idx="0">
                  <c:v>0</c:v>
                </c:pt>
                <c:pt idx="1">
                  <c:v>540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5E-4C35-8AE3-E7BE7D38FE83}"/>
            </c:ext>
          </c:extLst>
        </c:ser>
        <c:ser>
          <c:idx val="3"/>
          <c:order val="3"/>
          <c:tx>
            <c:v>Fuel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'Saratoga Seed Data'!$C$23:$C$24</c:f>
              <c:numCache>
                <c:formatCode>General</c:formatCode>
                <c:ptCount val="2"/>
                <c:pt idx="0">
                  <c:v>0</c:v>
                </c:pt>
                <c:pt idx="1">
                  <c:v>57.5</c:v>
                </c:pt>
              </c:numCache>
            </c:numRef>
          </c:xVal>
          <c:yVal>
            <c:numRef>
              <c:f>'Saratoga Seed Data'!$D$23:$D$24</c:f>
              <c:numCache>
                <c:formatCode>General</c:formatCode>
                <c:ptCount val="2"/>
                <c:pt idx="0">
                  <c:v>0</c:v>
                </c:pt>
                <c:pt idx="1">
                  <c:v>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5E-4C35-8AE3-E7BE7D38FE83}"/>
            </c:ext>
          </c:extLst>
        </c:ser>
        <c:ser>
          <c:idx val="4"/>
          <c:order val="4"/>
          <c:tx>
            <c:v>Rear Passengers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'Saratoga Seed Data'!$C$25:$C$26</c:f>
              <c:numCache>
                <c:formatCode>General</c:formatCode>
                <c:ptCount val="2"/>
                <c:pt idx="0">
                  <c:v>0</c:v>
                </c:pt>
                <c:pt idx="1">
                  <c:v>65</c:v>
                </c:pt>
              </c:numCache>
            </c:numRef>
          </c:xVal>
          <c:yVal>
            <c:numRef>
              <c:f>'Saratoga Seed Data'!$D$25:$D$26</c:f>
              <c:numCache>
                <c:formatCode>General</c:formatCode>
                <c:ptCount val="2"/>
                <c:pt idx="0">
                  <c:v>0</c:v>
                </c:pt>
                <c:pt idx="1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5E-4C35-8AE3-E7BE7D38FE83}"/>
            </c:ext>
          </c:extLst>
        </c:ser>
        <c:ser>
          <c:idx val="5"/>
          <c:order val="5"/>
          <c:tx>
            <c:v>Aft Luggage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'Saratoga Seed Data'!$C$27:$C$28</c:f>
              <c:numCache>
                <c:formatCode>General</c:formatCode>
                <c:ptCount val="2"/>
                <c:pt idx="0">
                  <c:v>0</c:v>
                </c:pt>
                <c:pt idx="1">
                  <c:v>18</c:v>
                </c:pt>
              </c:numCache>
            </c:numRef>
          </c:xVal>
          <c:yVal>
            <c:numRef>
              <c:f>'Saratoga Seed Data'!$D$27:$D$28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5E-4C35-8AE3-E7BE7D38FE83}"/>
            </c:ext>
          </c:extLst>
        </c:ser>
        <c:ser>
          <c:idx val="6"/>
          <c:order val="6"/>
          <c:tx>
            <c:v>Actual Front Baggage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'Saratoga FAR91.103'!$D$48</c:f>
              <c:numCache>
                <c:formatCode>0.0</c:formatCode>
                <c:ptCount val="1"/>
                <c:pt idx="0">
                  <c:v>0.84</c:v>
                </c:pt>
              </c:numCache>
            </c:numRef>
          </c:xVal>
          <c:yVal>
            <c:numRef>
              <c:f>'Saratoga FAR91.103'!$B$48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5E-4C35-8AE3-E7BE7D38FE83}"/>
            </c:ext>
          </c:extLst>
        </c:ser>
        <c:ser>
          <c:idx val="7"/>
          <c:order val="7"/>
          <c:tx>
            <c:v>Actual Pilot and Front Passenger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'Saratoga FAR91.103'!$D$49</c:f>
              <c:numCache>
                <c:formatCode>0.0</c:formatCode>
                <c:ptCount val="1"/>
                <c:pt idx="0">
                  <c:v>34.200000000000003</c:v>
                </c:pt>
              </c:numCache>
            </c:numRef>
          </c:xVal>
          <c:yVal>
            <c:numRef>
              <c:f>'Saratoga FAR91.103'!$B$49</c:f>
              <c:numCache>
                <c:formatCode>0.0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5E-4C35-8AE3-E7BE7D38FE83}"/>
            </c:ext>
          </c:extLst>
        </c:ser>
        <c:ser>
          <c:idx val="8"/>
          <c:order val="8"/>
          <c:tx>
            <c:v>Actual Center Passengers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'Saratoga FAR91.103'!$D$50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'Saratoga FAR91.103'!$B$50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5E-4C35-8AE3-E7BE7D38FE83}"/>
            </c:ext>
          </c:extLst>
        </c:ser>
        <c:ser>
          <c:idx val="9"/>
          <c:order val="9"/>
          <c:tx>
            <c:v>Actual Fuel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'Saratoga FAR91.103'!$D$56</c:f>
              <c:numCache>
                <c:formatCode>0.0</c:formatCode>
                <c:ptCount val="1"/>
                <c:pt idx="0">
                  <c:v>39.479999999999997</c:v>
                </c:pt>
              </c:numCache>
            </c:numRef>
          </c:xVal>
          <c:yVal>
            <c:numRef>
              <c:f>'Saratoga FAR91.103'!$B$56</c:f>
              <c:numCache>
                <c:formatCode>0.0</c:formatCode>
                <c:ptCount val="1"/>
                <c:pt idx="0">
                  <c:v>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5E-4C35-8AE3-E7BE7D38FE83}"/>
            </c:ext>
          </c:extLst>
        </c:ser>
        <c:ser>
          <c:idx val="10"/>
          <c:order val="10"/>
          <c:tx>
            <c:v>Actual Rear Passengers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'Saratoga FAR91.103'!$D$51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'Saratoga FAR91.103'!$B$51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D5E-4C35-8AE3-E7BE7D38FE83}"/>
            </c:ext>
          </c:extLst>
        </c:ser>
        <c:ser>
          <c:idx val="11"/>
          <c:order val="11"/>
          <c:tx>
            <c:v>Actual Aft Baggage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'Saratoga FAR91.103'!$D$52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'Saratoga FAR91.103'!$B$52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D5E-4C35-8AE3-E7BE7D38F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394048"/>
        <c:axId val="1"/>
      </c:scatterChart>
      <c:valAx>
        <c:axId val="333394048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0.5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394048"/>
        <c:crosses val="autoZero"/>
        <c:crossBetween val="midCat"/>
        <c:minorUnit val="10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02230971128605"/>
          <c:y val="9.1451292246520877E-2"/>
          <c:w val="0.20516318612347373"/>
          <c:h val="0.7654075546719680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76</xdr:row>
      <xdr:rowOff>142875</xdr:rowOff>
    </xdr:from>
    <xdr:to>
      <xdr:col>6</xdr:col>
      <xdr:colOff>762000</xdr:colOff>
      <xdr:row>104</xdr:row>
      <xdr:rowOff>104775</xdr:rowOff>
    </xdr:to>
    <xdr:graphicFrame macro="">
      <xdr:nvGraphicFramePr>
        <xdr:cNvPr id="2078" name="Chart 3">
          <a:extLst>
            <a:ext uri="{FF2B5EF4-FFF2-40B4-BE49-F238E27FC236}">
              <a16:creationId xmlns:a16="http://schemas.microsoft.com/office/drawing/2014/main" id="{401194FB-77AE-46C7-9D7C-BA5176EC0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106</xdr:row>
      <xdr:rowOff>19050</xdr:rowOff>
    </xdr:from>
    <xdr:to>
      <xdr:col>6</xdr:col>
      <xdr:colOff>742950</xdr:colOff>
      <xdr:row>135</xdr:row>
      <xdr:rowOff>114300</xdr:rowOff>
    </xdr:to>
    <xdr:graphicFrame macro="">
      <xdr:nvGraphicFramePr>
        <xdr:cNvPr id="2079" name="Chart 11">
          <a:extLst>
            <a:ext uri="{FF2B5EF4-FFF2-40B4-BE49-F238E27FC236}">
              <a16:creationId xmlns:a16="http://schemas.microsoft.com/office/drawing/2014/main" id="{2172A524-522B-4634-9090-F900D531A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topLeftCell="A13" zoomScale="115" zoomScaleNormal="115" workbookViewId="0">
      <selection activeCell="C51" sqref="C51"/>
    </sheetView>
  </sheetViews>
  <sheetFormatPr defaultRowHeight="12.75" x14ac:dyDescent="0.2"/>
  <cols>
    <col min="1" max="1" width="18.42578125" customWidth="1"/>
    <col min="2" max="2" width="10.85546875" customWidth="1"/>
    <col min="3" max="3" width="19.28515625" customWidth="1"/>
    <col min="4" max="4" width="14" customWidth="1"/>
    <col min="5" max="5" width="19.140625" customWidth="1"/>
    <col min="6" max="6" width="13" customWidth="1"/>
    <col min="7" max="7" width="11.7109375" customWidth="1"/>
    <col min="8" max="8" width="14" customWidth="1"/>
    <col min="11" max="11" width="12.42578125" customWidth="1"/>
  </cols>
  <sheetData>
    <row r="1" spans="1:8" x14ac:dyDescent="0.2">
      <c r="A1" s="188" t="s">
        <v>92</v>
      </c>
      <c r="B1" s="189"/>
      <c r="C1" s="189"/>
      <c r="D1" s="189"/>
      <c r="E1" s="189"/>
      <c r="F1" s="189"/>
      <c r="G1" s="190"/>
    </row>
    <row r="2" spans="1:8" x14ac:dyDescent="0.2">
      <c r="A2" s="205" t="s">
        <v>95</v>
      </c>
      <c r="B2" s="206"/>
      <c r="C2" s="206"/>
      <c r="D2" s="206"/>
      <c r="E2" s="206"/>
      <c r="F2" s="206"/>
      <c r="G2" s="207"/>
    </row>
    <row r="3" spans="1:8" ht="13.5" thickBot="1" x14ac:dyDescent="0.25">
      <c r="A3" s="191" t="s">
        <v>85</v>
      </c>
      <c r="B3" s="192"/>
      <c r="C3" s="192"/>
      <c r="D3" s="192"/>
      <c r="E3" s="192"/>
      <c r="F3" s="192"/>
      <c r="G3" s="193"/>
    </row>
    <row r="4" spans="1:8" x14ac:dyDescent="0.2">
      <c r="A4" s="208" t="s">
        <v>86</v>
      </c>
      <c r="B4" s="209"/>
      <c r="C4" s="209"/>
      <c r="D4" s="209"/>
      <c r="E4" s="209"/>
      <c r="F4" s="209"/>
      <c r="G4" s="210"/>
    </row>
    <row r="5" spans="1:8" ht="13.5" customHeight="1" thickBot="1" x14ac:dyDescent="0.25">
      <c r="A5" s="211" t="s">
        <v>87</v>
      </c>
      <c r="B5" s="212"/>
      <c r="C5" s="212"/>
      <c r="D5" s="212"/>
      <c r="E5" s="212"/>
      <c r="F5" s="212"/>
      <c r="G5" s="213"/>
    </row>
    <row r="6" spans="1:8" ht="7.15" customHeight="1" thickBot="1" x14ac:dyDescent="0.25">
      <c r="A6" s="79"/>
      <c r="B6" s="7"/>
      <c r="C6" s="7"/>
      <c r="D6" s="7"/>
      <c r="E6" s="7"/>
      <c r="F6" s="7"/>
      <c r="G6" s="80"/>
    </row>
    <row r="7" spans="1:8" x14ac:dyDescent="0.2">
      <c r="A7" s="163" t="s">
        <v>106</v>
      </c>
      <c r="B7" s="164"/>
      <c r="C7" s="164"/>
      <c r="D7" s="164"/>
      <c r="E7" s="164"/>
      <c r="F7" s="165"/>
      <c r="G7" s="80"/>
    </row>
    <row r="8" spans="1:8" x14ac:dyDescent="0.2">
      <c r="A8" s="81" t="s">
        <v>37</v>
      </c>
      <c r="B8" s="48">
        <f>(1-POWER(((33.8639*B9)/1013.25),0.190284))*145366.45</f>
        <v>28.895558366206458</v>
      </c>
      <c r="C8" s="49" t="s">
        <v>35</v>
      </c>
      <c r="D8" s="135">
        <v>32</v>
      </c>
      <c r="E8" s="49" t="s">
        <v>36</v>
      </c>
      <c r="F8" s="64">
        <f>(145366*(1-(POWER((17.326*B9/B11),0.235)))) +F28</f>
        <v>3315.0744107705955</v>
      </c>
      <c r="G8" s="80"/>
    </row>
    <row r="9" spans="1:8" x14ac:dyDescent="0.2">
      <c r="A9" s="81" t="s">
        <v>38</v>
      </c>
      <c r="B9" s="137">
        <v>29.89</v>
      </c>
      <c r="C9" s="49" t="s">
        <v>64</v>
      </c>
      <c r="D9" s="136">
        <v>21</v>
      </c>
      <c r="E9" s="49" t="s">
        <v>60</v>
      </c>
      <c r="F9" s="44">
        <f>6.11*POWER(10,(7.5*D9)/(237.7+D9))</f>
        <v>24.823013730162046</v>
      </c>
      <c r="G9" s="80"/>
    </row>
    <row r="10" spans="1:8" x14ac:dyDescent="0.2">
      <c r="A10" s="81" t="s">
        <v>61</v>
      </c>
      <c r="B10" s="50">
        <f>(D8+273.15)/(1-0.379*(6.11*POWER(10,(7.5*D9)/(237.7+D9))/F10))</f>
        <v>308.01285712653163</v>
      </c>
      <c r="C10" s="49" t="s">
        <v>34</v>
      </c>
      <c r="D10" s="50">
        <f>(9/5)*D8+32</f>
        <v>89.6</v>
      </c>
      <c r="E10" s="49" t="s">
        <v>63</v>
      </c>
      <c r="F10" s="44">
        <f>33.8639*B9</f>
        <v>1012.1919710000001</v>
      </c>
      <c r="G10" s="80"/>
    </row>
    <row r="11" spans="1:8" x14ac:dyDescent="0.2">
      <c r="A11" s="81" t="s">
        <v>62</v>
      </c>
      <c r="B11" s="50">
        <f>((B10-273.15)*1.8)+491.67</f>
        <v>554.42314282775703</v>
      </c>
      <c r="C11" s="49" t="s">
        <v>65</v>
      </c>
      <c r="D11" s="50">
        <f>(9/5)*D9+32</f>
        <v>69.800000000000011</v>
      </c>
      <c r="E11" s="49" t="s">
        <v>71</v>
      </c>
      <c r="F11" s="64">
        <f>D10-D11</f>
        <v>19.799999999999983</v>
      </c>
      <c r="G11" s="80"/>
      <c r="H11" s="63"/>
    </row>
    <row r="12" spans="1:8" ht="13.5" thickBot="1" x14ac:dyDescent="0.25">
      <c r="A12" s="199" t="str">
        <f>IF(ABS(F11)&lt;10,"CAUTION FOG *** CHECK DEWPOINT SPREAD"," ")</f>
        <v xml:space="preserve"> </v>
      </c>
      <c r="B12" s="200"/>
      <c r="C12" s="201"/>
      <c r="D12" s="202" t="str">
        <f>IF(F8&gt; 2500," CAUTION **** HIGH DENSITY ALTITUDE!!!!"," ")</f>
        <v xml:space="preserve"> CAUTION **** HIGH DENSITY ALTITUDE!!!!</v>
      </c>
      <c r="E12" s="203"/>
      <c r="F12" s="204"/>
      <c r="G12" s="80"/>
      <c r="H12" s="59"/>
    </row>
    <row r="13" spans="1:8" ht="7.15" customHeight="1" thickBot="1" x14ac:dyDescent="0.25">
      <c r="A13" s="79"/>
      <c r="B13" s="7"/>
      <c r="C13" s="7"/>
      <c r="D13" s="7"/>
      <c r="E13" s="7"/>
      <c r="F13" s="7"/>
      <c r="G13" s="80"/>
    </row>
    <row r="14" spans="1:8" x14ac:dyDescent="0.2">
      <c r="A14" s="163" t="s">
        <v>107</v>
      </c>
      <c r="B14" s="164"/>
      <c r="C14" s="164"/>
      <c r="D14" s="164"/>
      <c r="E14" s="164"/>
      <c r="F14" s="165"/>
      <c r="G14" s="80"/>
    </row>
    <row r="15" spans="1:8" x14ac:dyDescent="0.2">
      <c r="A15" s="81" t="s">
        <v>37</v>
      </c>
      <c r="B15" s="48">
        <f>(1-POWER(((33.8639*B16)/1013.25),0.190284))*145366.45</f>
        <v>28.895558366206458</v>
      </c>
      <c r="C15" s="49" t="s">
        <v>35</v>
      </c>
      <c r="D15" s="135">
        <v>32</v>
      </c>
      <c r="E15" s="49" t="s">
        <v>36</v>
      </c>
      <c r="F15" s="64">
        <f>(145366*(1-(POWER((17.326*B16/B18),0.235)))) +F29</f>
        <v>3315.0744107705955</v>
      </c>
      <c r="G15" s="80"/>
    </row>
    <row r="16" spans="1:8" x14ac:dyDescent="0.2">
      <c r="A16" s="81" t="s">
        <v>38</v>
      </c>
      <c r="B16" s="137">
        <v>29.89</v>
      </c>
      <c r="C16" s="49" t="s">
        <v>64</v>
      </c>
      <c r="D16" s="136">
        <v>21</v>
      </c>
      <c r="E16" s="49" t="s">
        <v>60</v>
      </c>
      <c r="F16" s="44">
        <f>6.11*POWER(10,(7.5*D16)/(237.7+D16))</f>
        <v>24.823013730162046</v>
      </c>
      <c r="G16" s="80"/>
    </row>
    <row r="17" spans="1:11" x14ac:dyDescent="0.2">
      <c r="A17" s="81" t="s">
        <v>61</v>
      </c>
      <c r="B17" s="50">
        <f>(D15+273.15)/(1-0.379*(6.11*POWER(10,(7.5*D16)/(237.7+D16))/F17))</f>
        <v>308.01285712653163</v>
      </c>
      <c r="C17" s="49" t="s">
        <v>34</v>
      </c>
      <c r="D17" s="50">
        <f>(9/5)*D15+32</f>
        <v>89.6</v>
      </c>
      <c r="E17" s="49" t="s">
        <v>63</v>
      </c>
      <c r="F17" s="44">
        <f>33.8639*B16</f>
        <v>1012.1919710000001</v>
      </c>
      <c r="G17" s="80"/>
    </row>
    <row r="18" spans="1:11" x14ac:dyDescent="0.2">
      <c r="A18" s="81" t="s">
        <v>62</v>
      </c>
      <c r="B18" s="50">
        <f>((B17-273.15)*1.8)+491.67</f>
        <v>554.42314282775703</v>
      </c>
      <c r="C18" s="49" t="s">
        <v>65</v>
      </c>
      <c r="D18" s="50">
        <f>(9/5)*D16+32</f>
        <v>69.800000000000011</v>
      </c>
      <c r="E18" s="49" t="s">
        <v>71</v>
      </c>
      <c r="F18" s="64">
        <f>D17-D18</f>
        <v>19.799999999999983</v>
      </c>
      <c r="G18" s="80"/>
      <c r="H18" s="63"/>
    </row>
    <row r="19" spans="1:11" ht="13.5" thickBot="1" x14ac:dyDescent="0.25">
      <c r="A19" s="199" t="str">
        <f>IF(ABS(F18)&lt;10,"CAUTION FOG *** CHECK DEWPOINT SPREAD"," ")</f>
        <v xml:space="preserve"> </v>
      </c>
      <c r="B19" s="200"/>
      <c r="C19" s="201"/>
      <c r="D19" s="202" t="str">
        <f>IF(F15&gt; 2500," CAUTION **** HIGH DENSITY ALTITUDE!!!!"," ")</f>
        <v xml:space="preserve"> CAUTION **** HIGH DENSITY ALTITUDE!!!!</v>
      </c>
      <c r="E19" s="203"/>
      <c r="F19" s="204"/>
      <c r="G19" s="80"/>
      <c r="H19" s="59"/>
    </row>
    <row r="20" spans="1:11" ht="8.25" customHeight="1" thickBot="1" x14ac:dyDescent="0.25">
      <c r="A20" s="82"/>
      <c r="B20" s="42"/>
      <c r="C20" s="43"/>
      <c r="D20" s="39"/>
      <c r="E20" s="40"/>
      <c r="F20" s="41"/>
      <c r="G20" s="80"/>
    </row>
    <row r="21" spans="1:11" ht="13.5" thickBot="1" x14ac:dyDescent="0.25">
      <c r="A21" s="194" t="s">
        <v>66</v>
      </c>
      <c r="B21" s="195"/>
      <c r="C21" s="195"/>
      <c r="D21" s="195"/>
      <c r="E21" s="195"/>
      <c r="F21" s="196"/>
      <c r="G21" s="80"/>
      <c r="K21" s="38"/>
    </row>
    <row r="22" spans="1:11" x14ac:dyDescent="0.2">
      <c r="A22" s="197" t="s">
        <v>67</v>
      </c>
      <c r="B22" s="198"/>
      <c r="C22" s="55" t="s">
        <v>50</v>
      </c>
      <c r="D22" s="138">
        <v>200</v>
      </c>
      <c r="E22" s="54" t="s">
        <v>51</v>
      </c>
      <c r="F22" s="139">
        <v>7</v>
      </c>
      <c r="G22" s="80"/>
      <c r="H22" s="8"/>
    </row>
    <row r="23" spans="1:11" ht="13.5" thickBot="1" x14ac:dyDescent="0.25">
      <c r="A23" s="214" t="s">
        <v>68</v>
      </c>
      <c r="B23" s="215"/>
      <c r="C23" s="56" t="s">
        <v>48</v>
      </c>
      <c r="D23" s="135">
        <v>200</v>
      </c>
      <c r="E23" s="49" t="s">
        <v>49</v>
      </c>
      <c r="F23" s="140">
        <v>7</v>
      </c>
      <c r="G23" s="80"/>
    </row>
    <row r="24" spans="1:11" x14ac:dyDescent="0.2">
      <c r="A24" s="83"/>
      <c r="B24" s="51"/>
      <c r="C24" s="37"/>
      <c r="D24" s="60" t="str">
        <f>IF((SIN(ABS(D22-B25)*3.14/180)*F22)&lt; 0,"Right Crosswind","Left Crosswind")</f>
        <v>Left Crosswind</v>
      </c>
      <c r="E24" s="37"/>
      <c r="F24" s="46"/>
      <c r="G24" s="80"/>
      <c r="K24" s="38"/>
    </row>
    <row r="25" spans="1:11" x14ac:dyDescent="0.2">
      <c r="A25" s="69" t="s">
        <v>69</v>
      </c>
      <c r="B25" s="135">
        <v>180</v>
      </c>
      <c r="C25" s="1" t="s">
        <v>44</v>
      </c>
      <c r="D25" s="3">
        <f>ABS(SIN(ABS(D22-B25)*3.14/180)*F22)</f>
        <v>2.392976939823424</v>
      </c>
      <c r="E25" s="1" t="s">
        <v>45</v>
      </c>
      <c r="F25" s="44">
        <f>ABS(COS(ABS(D22-B25)*3.14/180)*F22)</f>
        <v>6.5782719133122889</v>
      </c>
      <c r="G25" s="84" t="str">
        <f>IF((COS(ABS(D22-B25)*3.14/180)*F22)&lt;0,"TAILWIND!!!!"," ")</f>
        <v xml:space="preserve"> </v>
      </c>
    </row>
    <row r="26" spans="1:11" x14ac:dyDescent="0.2">
      <c r="A26" s="69" t="s">
        <v>43</v>
      </c>
      <c r="B26" s="135">
        <v>180</v>
      </c>
      <c r="C26" s="1" t="s">
        <v>46</v>
      </c>
      <c r="D26" s="3">
        <f>ABS(SIN(ABS(D23-B26)*3.14/180)*F23)</f>
        <v>2.392976939823424</v>
      </c>
      <c r="E26" s="1" t="s">
        <v>47</v>
      </c>
      <c r="F26" s="44">
        <f>ABS(COS(ABS(D23-B26)*3.14/180)*F23)</f>
        <v>6.5782719133122889</v>
      </c>
      <c r="G26" s="84" t="str">
        <f>IF((COS(ABS(D23-B26)*3.14/180)*F23)&lt;0,"TAILWIND!!!!"," ")</f>
        <v xml:space="preserve"> </v>
      </c>
    </row>
    <row r="27" spans="1:11" x14ac:dyDescent="0.2">
      <c r="A27" s="69"/>
      <c r="B27" s="37"/>
      <c r="C27" s="1"/>
      <c r="D27" s="65" t="str">
        <f>IF((SIN(ABS(D23-B26)*3.14/180)*F23)&lt; 0,"Right Crosswind","Left Crosswind")</f>
        <v>Left Crosswind</v>
      </c>
      <c r="E27" s="1"/>
      <c r="F27" s="44"/>
      <c r="G27" s="80"/>
      <c r="H27" s="39"/>
    </row>
    <row r="28" spans="1:11" x14ac:dyDescent="0.2">
      <c r="A28" s="69" t="s">
        <v>0</v>
      </c>
      <c r="B28" s="50">
        <f>(((F8/1000)*(0.2*1000)+900))-((3000-B58)*1.1)-(COS(ABS(D22-B25)*3.14/180)*20)</f>
        <v>1600.8698195446555</v>
      </c>
      <c r="C28" s="1" t="s">
        <v>83</v>
      </c>
      <c r="D28" s="50">
        <f>B28*1.12</f>
        <v>1792.9741978900142</v>
      </c>
      <c r="E28" s="1" t="s">
        <v>70</v>
      </c>
      <c r="F28" s="145">
        <v>1004</v>
      </c>
      <c r="G28" s="80"/>
    </row>
    <row r="29" spans="1:11" x14ac:dyDescent="0.2">
      <c r="A29" s="69" t="s">
        <v>1</v>
      </c>
      <c r="B29" s="50">
        <f>((((F15+F29)/1000)*(0.12*1000)+860)-((2550-E58)*1))-((COS(ABS(D23-B26)*3.14/180)*F23)*20)</f>
        <v>1372.2234910262257</v>
      </c>
      <c r="C29" s="1" t="s">
        <v>84</v>
      </c>
      <c r="D29" s="50">
        <f>B29*1.12</f>
        <v>1536.890309949373</v>
      </c>
      <c r="E29" s="37" t="s">
        <v>72</v>
      </c>
      <c r="F29" s="145">
        <v>1004</v>
      </c>
      <c r="G29" s="80"/>
    </row>
    <row r="30" spans="1:11" x14ac:dyDescent="0.2">
      <c r="A30" s="69"/>
      <c r="B30" s="1"/>
      <c r="C30" s="1"/>
      <c r="D30" s="6"/>
      <c r="E30" s="1"/>
      <c r="F30" s="47"/>
      <c r="G30" s="80"/>
    </row>
    <row r="31" spans="1:11" x14ac:dyDescent="0.2">
      <c r="A31" s="69" t="s">
        <v>2</v>
      </c>
      <c r="B31" s="143">
        <v>70</v>
      </c>
      <c r="C31" s="1"/>
      <c r="D31" s="1"/>
      <c r="E31" s="1" t="s">
        <v>3</v>
      </c>
      <c r="F31" s="145">
        <v>16</v>
      </c>
      <c r="G31" s="80"/>
    </row>
    <row r="32" spans="1:11" ht="13.5" thickBot="1" x14ac:dyDescent="0.25">
      <c r="A32" s="85" t="s">
        <v>5</v>
      </c>
      <c r="B32" s="52">
        <f>D32*F31</f>
        <v>64</v>
      </c>
      <c r="C32" s="45" t="s">
        <v>33</v>
      </c>
      <c r="D32" s="144">
        <v>4</v>
      </c>
      <c r="E32" s="45" t="s">
        <v>4</v>
      </c>
      <c r="F32" s="53">
        <f>B31/F31</f>
        <v>4.375</v>
      </c>
      <c r="G32" s="80"/>
    </row>
    <row r="33" spans="1:7" ht="8.25" customHeight="1" thickBot="1" x14ac:dyDescent="0.25">
      <c r="A33" s="131"/>
      <c r="B33" s="41"/>
      <c r="C33" s="41"/>
      <c r="D33" s="132"/>
      <c r="E33" s="41"/>
      <c r="F33" s="41"/>
      <c r="G33" s="80"/>
    </row>
    <row r="34" spans="1:7" ht="13.5" thickBot="1" x14ac:dyDescent="0.25">
      <c r="A34" s="151" t="s">
        <v>102</v>
      </c>
      <c r="B34" s="152"/>
      <c r="C34" s="152"/>
      <c r="D34" s="152"/>
      <c r="E34" s="152"/>
      <c r="F34" s="153"/>
      <c r="G34" s="80"/>
    </row>
    <row r="35" spans="1:7" x14ac:dyDescent="0.2">
      <c r="A35" s="184" t="s">
        <v>15</v>
      </c>
      <c r="B35" s="176"/>
      <c r="C35" s="175" t="s">
        <v>16</v>
      </c>
      <c r="D35" s="176"/>
      <c r="E35" s="175" t="s">
        <v>17</v>
      </c>
      <c r="F35" s="177"/>
      <c r="G35" s="80"/>
    </row>
    <row r="36" spans="1:7" x14ac:dyDescent="0.2">
      <c r="A36" s="67" t="s">
        <v>6</v>
      </c>
      <c r="B36" s="2"/>
      <c r="C36" s="2" t="s">
        <v>9</v>
      </c>
      <c r="D36" s="119"/>
      <c r="E36" s="2" t="s">
        <v>12</v>
      </c>
      <c r="F36" s="118"/>
      <c r="G36" s="80"/>
    </row>
    <row r="37" spans="1:7" x14ac:dyDescent="0.2">
      <c r="A37" s="67" t="s">
        <v>77</v>
      </c>
      <c r="B37" s="2" t="s">
        <v>94</v>
      </c>
      <c r="C37" s="2" t="s">
        <v>10</v>
      </c>
      <c r="D37" s="2">
        <v>85</v>
      </c>
      <c r="E37" s="2" t="s">
        <v>82</v>
      </c>
      <c r="F37" s="68">
        <v>112</v>
      </c>
      <c r="G37" s="80"/>
    </row>
    <row r="38" spans="1:7" x14ac:dyDescent="0.2">
      <c r="A38" s="67" t="s">
        <v>7</v>
      </c>
      <c r="B38" s="2">
        <v>72</v>
      </c>
      <c r="C38" s="2" t="s">
        <v>11</v>
      </c>
      <c r="D38" s="2">
        <v>79</v>
      </c>
      <c r="E38" s="2" t="s">
        <v>13</v>
      </c>
      <c r="F38" s="68">
        <v>154</v>
      </c>
      <c r="G38" s="80"/>
    </row>
    <row r="39" spans="1:7" x14ac:dyDescent="0.2">
      <c r="A39" s="67" t="s">
        <v>8</v>
      </c>
      <c r="B39" s="121"/>
      <c r="C39" s="2" t="s">
        <v>79</v>
      </c>
      <c r="D39" s="2">
        <v>58</v>
      </c>
      <c r="E39" s="2" t="s">
        <v>14</v>
      </c>
      <c r="F39" s="68">
        <v>197</v>
      </c>
      <c r="G39" s="80"/>
    </row>
    <row r="40" spans="1:7" x14ac:dyDescent="0.2">
      <c r="A40" s="67" t="s">
        <v>75</v>
      </c>
      <c r="B40" s="2">
        <v>76</v>
      </c>
      <c r="C40" s="2" t="s">
        <v>80</v>
      </c>
      <c r="D40" s="2">
        <v>62</v>
      </c>
      <c r="E40" s="114" t="s">
        <v>81</v>
      </c>
      <c r="F40" s="118"/>
      <c r="G40" s="80"/>
    </row>
    <row r="41" spans="1:7" x14ac:dyDescent="0.2">
      <c r="A41" s="67" t="s">
        <v>76</v>
      </c>
      <c r="B41" s="2">
        <v>90</v>
      </c>
      <c r="C41" s="2" t="s">
        <v>78</v>
      </c>
      <c r="D41" s="2">
        <v>80</v>
      </c>
      <c r="E41" s="114" t="s">
        <v>100</v>
      </c>
      <c r="F41" s="115">
        <v>134</v>
      </c>
      <c r="G41" s="80"/>
    </row>
    <row r="42" spans="1:7" ht="13.5" thickBot="1" x14ac:dyDescent="0.25">
      <c r="A42" s="92" t="s">
        <v>74</v>
      </c>
      <c r="B42" s="93">
        <v>100</v>
      </c>
      <c r="C42" s="120"/>
      <c r="D42" s="120"/>
      <c r="E42" s="116" t="s">
        <v>101</v>
      </c>
      <c r="F42" s="117">
        <v>104</v>
      </c>
      <c r="G42" s="80"/>
    </row>
    <row r="43" spans="1:7" ht="8.25" customHeight="1" thickBot="1" x14ac:dyDescent="0.25">
      <c r="A43" s="79"/>
      <c r="B43" s="7"/>
      <c r="C43" s="7"/>
      <c r="D43" s="7"/>
      <c r="E43" s="7"/>
      <c r="F43" s="7"/>
      <c r="G43" s="80"/>
    </row>
    <row r="44" spans="1:7" ht="13.5" thickBot="1" x14ac:dyDescent="0.25">
      <c r="A44" s="151" t="s">
        <v>18</v>
      </c>
      <c r="B44" s="152"/>
      <c r="C44" s="152"/>
      <c r="D44" s="152"/>
      <c r="E44" s="152"/>
      <c r="F44" s="152"/>
      <c r="G44" s="153"/>
    </row>
    <row r="45" spans="1:7" x14ac:dyDescent="0.2">
      <c r="A45" s="147"/>
      <c r="B45" s="216" t="s">
        <v>15</v>
      </c>
      <c r="C45" s="216"/>
      <c r="D45" s="216"/>
      <c r="E45" s="156" t="s">
        <v>16</v>
      </c>
      <c r="F45" s="157"/>
      <c r="G45" s="158"/>
    </row>
    <row r="46" spans="1:7" x14ac:dyDescent="0.2">
      <c r="A46" s="67" t="s">
        <v>22</v>
      </c>
      <c r="B46" s="2" t="s">
        <v>19</v>
      </c>
      <c r="C46" s="2" t="s">
        <v>20</v>
      </c>
      <c r="D46" s="2" t="s">
        <v>21</v>
      </c>
      <c r="E46" s="2" t="s">
        <v>19</v>
      </c>
      <c r="F46" s="2" t="s">
        <v>20</v>
      </c>
      <c r="G46" s="68" t="s">
        <v>21</v>
      </c>
    </row>
    <row r="47" spans="1:7" x14ac:dyDescent="0.2">
      <c r="A47" s="69" t="s">
        <v>23</v>
      </c>
      <c r="B47" s="61">
        <v>2219.5</v>
      </c>
      <c r="C47" s="62">
        <v>84.835991000000007</v>
      </c>
      <c r="D47" s="50">
        <f t="shared" ref="D47:D52" si="0">(B47*C47)/1000</f>
        <v>188.29348202450004</v>
      </c>
      <c r="E47" s="62">
        <f t="shared" ref="E47:F54" si="1">B47</f>
        <v>2219.5</v>
      </c>
      <c r="F47" s="62">
        <f t="shared" si="1"/>
        <v>84.835991000000007</v>
      </c>
      <c r="G47" s="70">
        <f t="shared" ref="G47:G52" si="2">D47</f>
        <v>188.29348202450004</v>
      </c>
    </row>
    <row r="48" spans="1:7" x14ac:dyDescent="0.2">
      <c r="A48" s="69" t="s">
        <v>90</v>
      </c>
      <c r="B48" s="141">
        <v>20</v>
      </c>
      <c r="C48" s="62">
        <v>42</v>
      </c>
      <c r="D48" s="62">
        <f t="shared" si="0"/>
        <v>0.84</v>
      </c>
      <c r="E48" s="4">
        <f>B48</f>
        <v>20</v>
      </c>
      <c r="F48" s="4">
        <f>C48</f>
        <v>42</v>
      </c>
      <c r="G48" s="71">
        <f t="shared" si="2"/>
        <v>0.84</v>
      </c>
    </row>
    <row r="49" spans="1:7" x14ac:dyDescent="0.2">
      <c r="A49" s="69" t="s">
        <v>24</v>
      </c>
      <c r="B49" s="141">
        <v>400</v>
      </c>
      <c r="C49" s="4">
        <v>85.5</v>
      </c>
      <c r="D49" s="62">
        <f t="shared" si="0"/>
        <v>34.200000000000003</v>
      </c>
      <c r="E49" s="4">
        <f t="shared" si="1"/>
        <v>400</v>
      </c>
      <c r="F49" s="4">
        <f t="shared" si="1"/>
        <v>85.5</v>
      </c>
      <c r="G49" s="71">
        <f t="shared" si="2"/>
        <v>34.200000000000003</v>
      </c>
    </row>
    <row r="50" spans="1:7" x14ac:dyDescent="0.2">
      <c r="A50" s="69" t="s">
        <v>89</v>
      </c>
      <c r="B50" s="141">
        <v>0</v>
      </c>
      <c r="C50" s="4">
        <v>119.1</v>
      </c>
      <c r="D50" s="62">
        <f t="shared" si="0"/>
        <v>0</v>
      </c>
      <c r="E50" s="4">
        <f>B50</f>
        <v>0</v>
      </c>
      <c r="F50" s="4">
        <f>C50</f>
        <v>119.1</v>
      </c>
      <c r="G50" s="71">
        <f t="shared" si="2"/>
        <v>0</v>
      </c>
    </row>
    <row r="51" spans="1:7" x14ac:dyDescent="0.2">
      <c r="A51" s="69" t="s">
        <v>25</v>
      </c>
      <c r="B51" s="141">
        <v>0</v>
      </c>
      <c r="C51" s="4">
        <v>157.6</v>
      </c>
      <c r="D51" s="62">
        <f t="shared" si="0"/>
        <v>0</v>
      </c>
      <c r="E51" s="4">
        <f t="shared" si="1"/>
        <v>0</v>
      </c>
      <c r="F51" s="4">
        <f t="shared" si="1"/>
        <v>157.6</v>
      </c>
      <c r="G51" s="71">
        <f t="shared" si="2"/>
        <v>0</v>
      </c>
    </row>
    <row r="52" spans="1:7" ht="13.5" thickBot="1" x14ac:dyDescent="0.25">
      <c r="A52" s="101" t="s">
        <v>91</v>
      </c>
      <c r="B52" s="142">
        <v>0</v>
      </c>
      <c r="C52" s="102">
        <v>178.7</v>
      </c>
      <c r="D52" s="103">
        <f t="shared" si="0"/>
        <v>0</v>
      </c>
      <c r="E52" s="102">
        <f>B52</f>
        <v>0</v>
      </c>
      <c r="F52" s="102">
        <f>C52</f>
        <v>178.7</v>
      </c>
      <c r="G52" s="104">
        <f t="shared" si="2"/>
        <v>0</v>
      </c>
    </row>
    <row r="53" spans="1:7" ht="14.25" thickTop="1" thickBot="1" x14ac:dyDescent="0.25">
      <c r="A53" s="108" t="str">
        <f>IF(OR(B48&gt;100,B52&gt; 100), "**** TOO MUCH WEIGHT IN BAGGAGE AREA ****"," ")</f>
        <v xml:space="preserve"> </v>
      </c>
      <c r="B53" s="109"/>
      <c r="C53" s="110"/>
      <c r="D53" s="111" t="s">
        <v>96</v>
      </c>
      <c r="E53" s="111"/>
      <c r="F53" s="112"/>
      <c r="G53" s="113"/>
    </row>
    <row r="54" spans="1:7" ht="13.5" thickTop="1" x14ac:dyDescent="0.2">
      <c r="A54" s="83" t="s">
        <v>26</v>
      </c>
      <c r="B54" s="105">
        <f>SUM(B47:B52)</f>
        <v>2639.5</v>
      </c>
      <c r="C54" s="106">
        <f>D54*1000/B54</f>
        <v>84.61204092612239</v>
      </c>
      <c r="D54" s="106">
        <f>SUM(D47:D53)</f>
        <v>223.33348202450003</v>
      </c>
      <c r="E54" s="106">
        <f t="shared" si="1"/>
        <v>2639.5</v>
      </c>
      <c r="F54" s="106">
        <f t="shared" si="1"/>
        <v>84.61204092612239</v>
      </c>
      <c r="G54" s="107">
        <f>D54</f>
        <v>223.33348202450003</v>
      </c>
    </row>
    <row r="55" spans="1:7" x14ac:dyDescent="0.2">
      <c r="A55" s="69" t="s">
        <v>27</v>
      </c>
      <c r="B55" s="5"/>
      <c r="C55" s="4"/>
      <c r="D55" s="4"/>
      <c r="E55" s="1"/>
      <c r="F55" s="1"/>
      <c r="G55" s="47"/>
    </row>
    <row r="56" spans="1:7" x14ac:dyDescent="0.2">
      <c r="A56" s="69" t="s">
        <v>28</v>
      </c>
      <c r="B56" s="61">
        <f>B31*6</f>
        <v>420</v>
      </c>
      <c r="C56" s="62">
        <v>94</v>
      </c>
      <c r="D56" s="62">
        <f>(B56*C56)/1000</f>
        <v>39.479999999999997</v>
      </c>
      <c r="E56" s="49">
        <f>(B31-B32)*6</f>
        <v>36</v>
      </c>
      <c r="F56" s="62">
        <f>$C$56</f>
        <v>94</v>
      </c>
      <c r="G56" s="70">
        <f>(E56*F56)/1000</f>
        <v>3.3839999999999999</v>
      </c>
    </row>
    <row r="57" spans="1:7" x14ac:dyDescent="0.2">
      <c r="A57" s="72" t="s">
        <v>59</v>
      </c>
      <c r="B57" s="1">
        <v>-8</v>
      </c>
      <c r="C57" s="4">
        <v>94</v>
      </c>
      <c r="D57" s="4">
        <f>(B57*C57)/1000</f>
        <v>-0.752</v>
      </c>
      <c r="E57" s="1"/>
      <c r="F57" s="1"/>
      <c r="G57" s="47"/>
    </row>
    <row r="58" spans="1:7" ht="13.5" thickBot="1" x14ac:dyDescent="0.25">
      <c r="A58" s="73" t="s">
        <v>29</v>
      </c>
      <c r="B58" s="57">
        <f>SUM(B54:B57)</f>
        <v>3051.5</v>
      </c>
      <c r="C58" s="58">
        <f>D58*1000/B58</f>
        <v>85.879561535146664</v>
      </c>
      <c r="D58" s="58">
        <f>SUM(D54:D57)</f>
        <v>262.06148202450004</v>
      </c>
      <c r="E58" s="57">
        <f>SUM(E54:E56)</f>
        <v>2675.5</v>
      </c>
      <c r="F58" s="58">
        <f>G58*1000/E58</f>
        <v>84.73835994188002</v>
      </c>
      <c r="G58" s="74">
        <f>SUM(G54:G56)</f>
        <v>226.71748202450001</v>
      </c>
    </row>
    <row r="59" spans="1:7" ht="13.5" thickBot="1" x14ac:dyDescent="0.25">
      <c r="A59" s="169" t="str">
        <f>IF(B58&gt;3600,"***Too Heavy Leave Something Behind***",IF(B58&gt;3500,"Forward CG is 88.4  -  Aft CG Limit is 95",IF(B58&gt;3300,"Forward CG is 85  -  Aft CG Limit is 95",IF(B58&gt;3200,"Forward CG is 83.5  -  Aft CG Limit is 95",IF(B58&gt;3000,"Forward CG is 82.0  -  Aft CG Limit is 95",IF(B58&gt;2800,"Forward CG is 80.75  -  Aft CG Limit is 95",IF(B58&gt;2600,"Forward CG is 79.2  -  Aft CG Limit is 95",IF(B58&gt;2219,"Invalid Information"))))))))</f>
        <v>Forward CG is 82.0  -  Aft CG Limit is 95</v>
      </c>
      <c r="B59" s="170"/>
      <c r="C59" s="170"/>
      <c r="D59" s="171"/>
      <c r="E59" s="181" t="str">
        <f>IF(OR(C58&lt;C65, C58&gt;C66 ), "**** CAUTION CG OUT OF LIMITS ****"," ")</f>
        <v xml:space="preserve"> </v>
      </c>
      <c r="F59" s="182"/>
      <c r="G59" s="183"/>
    </row>
    <row r="60" spans="1:7" ht="13.5" thickBot="1" x14ac:dyDescent="0.25">
      <c r="A60" s="172"/>
      <c r="B60" s="173"/>
      <c r="C60" s="173"/>
      <c r="D60" s="174"/>
      <c r="E60" s="181" t="str">
        <f>IF(OR(F58&lt;F65, F58&gt;F66 ), "**** CAUTION CG OUT OF LIMITS ****"," ")</f>
        <v xml:space="preserve"> </v>
      </c>
      <c r="F60" s="182"/>
      <c r="G60" s="183"/>
    </row>
    <row r="61" spans="1:7" x14ac:dyDescent="0.2">
      <c r="A61" s="161" t="s">
        <v>32</v>
      </c>
      <c r="B61" s="162"/>
      <c r="C61" s="87">
        <v>3600</v>
      </c>
      <c r="D61" s="162" t="s">
        <v>30</v>
      </c>
      <c r="E61" s="162"/>
      <c r="F61" s="87">
        <v>3600</v>
      </c>
      <c r="G61" s="88"/>
    </row>
    <row r="62" spans="1:7" ht="13.5" thickBot="1" x14ac:dyDescent="0.25">
      <c r="A62" s="159" t="s">
        <v>31</v>
      </c>
      <c r="B62" s="160"/>
      <c r="C62" s="89" t="s">
        <v>73</v>
      </c>
      <c r="D62" s="160" t="s">
        <v>30</v>
      </c>
      <c r="E62" s="160"/>
      <c r="F62" s="75" t="s">
        <v>73</v>
      </c>
      <c r="G62" s="90"/>
    </row>
    <row r="63" spans="1:7" ht="13.5" thickBot="1" x14ac:dyDescent="0.25">
      <c r="A63" s="151" t="s">
        <v>39</v>
      </c>
      <c r="B63" s="152"/>
      <c r="C63" s="152"/>
      <c r="D63" s="152"/>
      <c r="E63" s="152"/>
      <c r="F63" s="152"/>
      <c r="G63" s="153"/>
    </row>
    <row r="64" spans="1:7" x14ac:dyDescent="0.2">
      <c r="A64" s="166" t="s">
        <v>15</v>
      </c>
      <c r="B64" s="154"/>
      <c r="C64" s="154"/>
      <c r="D64" s="154" t="s">
        <v>16</v>
      </c>
      <c r="E64" s="154"/>
      <c r="F64" s="154"/>
      <c r="G64" s="155"/>
    </row>
    <row r="65" spans="1:7" x14ac:dyDescent="0.2">
      <c r="A65" s="180" t="s">
        <v>105</v>
      </c>
      <c r="B65" s="148"/>
      <c r="C65" s="97">
        <f>IF(B58&gt;=3600,90,IF(B58&gt;3500,88.2,IF(B58&gt;3300,85,IF(B58&gt;3200,83.5,IF(B58&gt;3000,82,IF(B58&gt;2800,80.8,IF(B58&gt;2600,79.3,IF(B58&gt;2400,78,"Invalid Information"))))))))</f>
        <v>82</v>
      </c>
      <c r="D65" s="148" t="s">
        <v>105</v>
      </c>
      <c r="E65" s="148"/>
      <c r="F65" s="149">
        <f>IF(E58&gt;=3600,90,IF(E58&gt;3500,88.2,IF(E58&gt;3300,85,IF(E58&gt;3200,83.5,IF(E58&gt;3000,82,IF(E58&gt;2800,80.8,IF(E58&gt;2600,79.3,IF(E58&gt;2400,78,"Invalid Information"))))))))</f>
        <v>79.3</v>
      </c>
      <c r="G65" s="150"/>
    </row>
    <row r="66" spans="1:7" ht="13.5" thickBot="1" x14ac:dyDescent="0.25">
      <c r="A66" s="167" t="s">
        <v>104</v>
      </c>
      <c r="B66" s="168"/>
      <c r="C66" s="98">
        <v>95</v>
      </c>
      <c r="D66" s="168" t="s">
        <v>104</v>
      </c>
      <c r="E66" s="168"/>
      <c r="F66" s="178">
        <v>95</v>
      </c>
      <c r="G66" s="179"/>
    </row>
    <row r="67" spans="1:7" x14ac:dyDescent="0.2">
      <c r="A67" s="94" t="s">
        <v>97</v>
      </c>
      <c r="B67" s="95">
        <v>2400</v>
      </c>
      <c r="C67" s="133">
        <v>78</v>
      </c>
      <c r="D67" s="128"/>
      <c r="E67" s="96" t="s">
        <v>97</v>
      </c>
      <c r="F67" s="95">
        <v>2400</v>
      </c>
      <c r="G67" s="134">
        <v>78</v>
      </c>
    </row>
    <row r="68" spans="1:7" x14ac:dyDescent="0.2">
      <c r="A68" s="67" t="s">
        <v>97</v>
      </c>
      <c r="B68" s="2">
        <v>3200</v>
      </c>
      <c r="C68" s="122">
        <v>83.5</v>
      </c>
      <c r="D68" s="129"/>
      <c r="E68" s="125" t="s">
        <v>97</v>
      </c>
      <c r="F68" s="2">
        <v>3200</v>
      </c>
      <c r="G68" s="91">
        <v>83.5</v>
      </c>
    </row>
    <row r="69" spans="1:7" x14ac:dyDescent="0.2">
      <c r="A69" s="66" t="s">
        <v>97</v>
      </c>
      <c r="B69" s="9">
        <v>3600</v>
      </c>
      <c r="C69" s="123">
        <v>90</v>
      </c>
      <c r="D69" s="129"/>
      <c r="E69" s="126" t="s">
        <v>97</v>
      </c>
      <c r="F69" s="9">
        <v>3600</v>
      </c>
      <c r="G69" s="100">
        <v>90</v>
      </c>
    </row>
    <row r="70" spans="1:7" ht="13.5" thickBot="1" x14ac:dyDescent="0.25">
      <c r="A70" s="92" t="s">
        <v>98</v>
      </c>
      <c r="B70" s="93" t="s">
        <v>99</v>
      </c>
      <c r="C70" s="124">
        <v>95</v>
      </c>
      <c r="D70" s="130"/>
      <c r="E70" s="127" t="s">
        <v>98</v>
      </c>
      <c r="F70" s="93" t="s">
        <v>99</v>
      </c>
      <c r="G70" s="99">
        <v>95</v>
      </c>
    </row>
    <row r="71" spans="1:7" ht="8.25" customHeight="1" thickBot="1" x14ac:dyDescent="0.25">
      <c r="D71" s="7"/>
      <c r="E71" s="7"/>
      <c r="F71" s="7"/>
      <c r="G71" s="80"/>
    </row>
    <row r="72" spans="1:7" ht="13.5" thickBot="1" x14ac:dyDescent="0.25">
      <c r="A72" s="151" t="s">
        <v>40</v>
      </c>
      <c r="B72" s="152"/>
      <c r="C72" s="152"/>
      <c r="D72" s="152"/>
      <c r="E72" s="152"/>
      <c r="F72" s="152"/>
      <c r="G72" s="153"/>
    </row>
    <row r="73" spans="1:7" x14ac:dyDescent="0.2">
      <c r="A73" s="185" t="s">
        <v>103</v>
      </c>
      <c r="B73" s="186"/>
      <c r="C73" s="186"/>
      <c r="D73" s="186"/>
      <c r="E73" s="186"/>
      <c r="F73" s="186"/>
      <c r="G73" s="187"/>
    </row>
    <row r="74" spans="1:7" ht="13.5" thickBot="1" x14ac:dyDescent="0.25">
      <c r="A74" s="76" t="s">
        <v>41</v>
      </c>
      <c r="B74" s="146">
        <v>3000</v>
      </c>
      <c r="C74" s="77" t="s">
        <v>88</v>
      </c>
      <c r="D74" s="146">
        <v>1000</v>
      </c>
      <c r="E74" s="160" t="s">
        <v>42</v>
      </c>
      <c r="F74" s="160"/>
      <c r="G74" s="78">
        <f>((B74-D74)/1000)*1.5</f>
        <v>3</v>
      </c>
    </row>
  </sheetData>
  <mergeCells count="40">
    <mergeCell ref="E74:F74"/>
    <mergeCell ref="A2:G2"/>
    <mergeCell ref="A4:G4"/>
    <mergeCell ref="A5:G5"/>
    <mergeCell ref="A23:B23"/>
    <mergeCell ref="B45:D45"/>
    <mergeCell ref="A44:G44"/>
    <mergeCell ref="A73:G73"/>
    <mergeCell ref="A1:G1"/>
    <mergeCell ref="A3:G3"/>
    <mergeCell ref="A21:F21"/>
    <mergeCell ref="A22:B22"/>
    <mergeCell ref="A19:C19"/>
    <mergeCell ref="D19:F19"/>
    <mergeCell ref="A7:F7"/>
    <mergeCell ref="A12:C12"/>
    <mergeCell ref="D12:F12"/>
    <mergeCell ref="A14:F14"/>
    <mergeCell ref="A72:G72"/>
    <mergeCell ref="A64:C64"/>
    <mergeCell ref="A66:B66"/>
    <mergeCell ref="D66:E66"/>
    <mergeCell ref="A59:D60"/>
    <mergeCell ref="C35:D35"/>
    <mergeCell ref="E35:F35"/>
    <mergeCell ref="F66:G66"/>
    <mergeCell ref="A65:B65"/>
    <mergeCell ref="E59:G59"/>
    <mergeCell ref="E60:G60"/>
    <mergeCell ref="A35:B35"/>
    <mergeCell ref="D65:E65"/>
    <mergeCell ref="F65:G65"/>
    <mergeCell ref="A63:G63"/>
    <mergeCell ref="D64:G64"/>
    <mergeCell ref="A34:F34"/>
    <mergeCell ref="E45:G45"/>
    <mergeCell ref="A62:B62"/>
    <mergeCell ref="D62:E62"/>
    <mergeCell ref="A61:B61"/>
    <mergeCell ref="D61:E61"/>
  </mergeCells>
  <phoneticPr fontId="2" type="noConversion"/>
  <pageMargins left="0.75" right="0.75" top="0.5" bottom="0.48" header="0.5" footer="0.5"/>
  <pageSetup scale="84" fitToHeight="3" orientation="portrait" r:id="rId1"/>
  <headerFooter alignWithMargins="0"/>
  <rowBreaks count="1" manualBreakCount="1">
    <brk id="73" max="16383" man="1"/>
  </rowBreaks>
  <ignoredErrors>
    <ignoredError sqref="F58 C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8"/>
  <sheetViews>
    <sheetView workbookViewId="0">
      <selection activeCell="G24" sqref="G24"/>
    </sheetView>
  </sheetViews>
  <sheetFormatPr defaultRowHeight="12.75" x14ac:dyDescent="0.2"/>
  <cols>
    <col min="1" max="1" width="12.7109375" customWidth="1"/>
    <col min="2" max="2" width="15.28515625" style="8" customWidth="1"/>
  </cols>
  <sheetData>
    <row r="2" spans="1:5" ht="13.5" thickBot="1" x14ac:dyDescent="0.25"/>
    <row r="3" spans="1:5" ht="14.25" thickTop="1" thickBot="1" x14ac:dyDescent="0.25">
      <c r="A3" s="20" t="s">
        <v>52</v>
      </c>
      <c r="B3" s="21"/>
      <c r="C3" s="22"/>
      <c r="D3" s="22"/>
      <c r="E3" s="23"/>
    </row>
    <row r="4" spans="1:5" x14ac:dyDescent="0.2">
      <c r="A4" s="10" t="s">
        <v>53</v>
      </c>
      <c r="B4" s="11"/>
      <c r="C4" s="25"/>
      <c r="D4" s="12" t="s">
        <v>54</v>
      </c>
      <c r="E4" s="13"/>
    </row>
    <row r="5" spans="1:5" x14ac:dyDescent="0.2">
      <c r="A5" s="14" t="s">
        <v>21</v>
      </c>
      <c r="B5" s="15" t="s">
        <v>55</v>
      </c>
      <c r="C5" s="26"/>
      <c r="D5" s="16" t="s">
        <v>56</v>
      </c>
      <c r="E5" s="17" t="s">
        <v>55</v>
      </c>
    </row>
    <row r="6" spans="1:5" x14ac:dyDescent="0.2">
      <c r="A6" s="27">
        <v>98.4</v>
      </c>
      <c r="B6" s="28">
        <v>1700</v>
      </c>
      <c r="C6" s="24"/>
      <c r="D6" s="33">
        <v>78</v>
      </c>
      <c r="E6" s="34">
        <v>2219</v>
      </c>
    </row>
    <row r="7" spans="1:5" x14ac:dyDescent="0.2">
      <c r="A7" s="27">
        <v>135.30000000000001</v>
      </c>
      <c r="B7" s="28"/>
      <c r="C7" s="24"/>
      <c r="D7" s="33">
        <v>78</v>
      </c>
      <c r="E7" s="34">
        <v>2400</v>
      </c>
    </row>
    <row r="8" spans="1:5" x14ac:dyDescent="0.2">
      <c r="A8" s="27">
        <v>159.9</v>
      </c>
      <c r="B8" s="28"/>
      <c r="C8" s="24"/>
      <c r="D8" s="33">
        <v>83.5</v>
      </c>
      <c r="E8" s="34">
        <v>3200</v>
      </c>
    </row>
    <row r="9" spans="1:5" x14ac:dyDescent="0.2">
      <c r="A9" s="27">
        <v>195.5</v>
      </c>
      <c r="B9" s="28"/>
      <c r="C9" s="24"/>
      <c r="D9" s="33">
        <v>88</v>
      </c>
      <c r="E9" s="34">
        <v>3500</v>
      </c>
    </row>
    <row r="10" spans="1:5" x14ac:dyDescent="0.2">
      <c r="A10" s="27">
        <v>225.6</v>
      </c>
      <c r="B10" s="28">
        <v>3000</v>
      </c>
      <c r="C10" s="24"/>
      <c r="D10" s="33">
        <v>90</v>
      </c>
      <c r="E10" s="34">
        <v>3600</v>
      </c>
    </row>
    <row r="11" spans="1:5" x14ac:dyDescent="0.2">
      <c r="A11" s="27">
        <v>237.15</v>
      </c>
      <c r="B11" s="28">
        <v>3000</v>
      </c>
      <c r="C11" s="24"/>
      <c r="D11" s="33">
        <v>95</v>
      </c>
      <c r="E11" s="34">
        <v>3600</v>
      </c>
    </row>
    <row r="12" spans="1:5" ht="13.5" thickBot="1" x14ac:dyDescent="0.25">
      <c r="A12" s="27">
        <v>111.6</v>
      </c>
      <c r="B12" s="28">
        <v>1700</v>
      </c>
      <c r="C12" s="24"/>
      <c r="D12" s="35">
        <v>95</v>
      </c>
      <c r="E12" s="36">
        <v>2219</v>
      </c>
    </row>
    <row r="13" spans="1:5" ht="13.5" thickTop="1" x14ac:dyDescent="0.2">
      <c r="A13" s="18"/>
      <c r="B13" s="18"/>
      <c r="C13" s="18"/>
      <c r="D13" s="19"/>
      <c r="E13" s="19"/>
    </row>
    <row r="16" spans="1:5" x14ac:dyDescent="0.2">
      <c r="A16" s="29"/>
      <c r="B16" s="30" t="s">
        <v>22</v>
      </c>
      <c r="C16" s="30" t="s">
        <v>21</v>
      </c>
      <c r="D16" s="30" t="s">
        <v>55</v>
      </c>
    </row>
    <row r="17" spans="1:4" x14ac:dyDescent="0.2">
      <c r="A17" s="29"/>
      <c r="B17" s="86" t="s">
        <v>90</v>
      </c>
      <c r="C17" s="86">
        <v>0</v>
      </c>
      <c r="D17" s="86">
        <v>0</v>
      </c>
    </row>
    <row r="18" spans="1:4" x14ac:dyDescent="0.2">
      <c r="A18" s="29"/>
      <c r="B18" s="86"/>
      <c r="C18" s="86">
        <v>4</v>
      </c>
      <c r="D18" s="86">
        <v>100</v>
      </c>
    </row>
    <row r="19" spans="1:4" x14ac:dyDescent="0.2">
      <c r="A19" s="29"/>
      <c r="B19" s="32" t="s">
        <v>58</v>
      </c>
      <c r="C19" s="31">
        <v>0</v>
      </c>
      <c r="D19" s="31">
        <v>0</v>
      </c>
    </row>
    <row r="20" spans="1:4" x14ac:dyDescent="0.2">
      <c r="A20" s="29"/>
      <c r="B20" s="31"/>
      <c r="C20" s="31">
        <v>42</v>
      </c>
      <c r="D20" s="31">
        <v>500</v>
      </c>
    </row>
    <row r="21" spans="1:4" x14ac:dyDescent="0.2">
      <c r="A21" s="29"/>
      <c r="B21" s="32" t="s">
        <v>93</v>
      </c>
      <c r="C21" s="31">
        <v>0</v>
      </c>
      <c r="D21" s="31">
        <v>0</v>
      </c>
    </row>
    <row r="22" spans="1:4" x14ac:dyDescent="0.2">
      <c r="A22" s="29"/>
      <c r="B22" s="31"/>
      <c r="C22" s="31">
        <v>64</v>
      </c>
      <c r="D22" s="31">
        <v>540</v>
      </c>
    </row>
    <row r="23" spans="1:4" x14ac:dyDescent="0.2">
      <c r="A23" s="29"/>
      <c r="B23" s="31" t="s">
        <v>28</v>
      </c>
      <c r="C23" s="31">
        <v>0</v>
      </c>
      <c r="D23" s="31">
        <v>0</v>
      </c>
    </row>
    <row r="24" spans="1:4" x14ac:dyDescent="0.2">
      <c r="A24" s="29"/>
      <c r="B24" s="31"/>
      <c r="C24" s="31">
        <v>57.5</v>
      </c>
      <c r="D24" s="31">
        <v>612</v>
      </c>
    </row>
    <row r="25" spans="1:4" x14ac:dyDescent="0.2">
      <c r="B25" s="32" t="s">
        <v>57</v>
      </c>
      <c r="C25" s="31">
        <v>0</v>
      </c>
      <c r="D25" s="31">
        <v>0</v>
      </c>
    </row>
    <row r="26" spans="1:4" x14ac:dyDescent="0.2">
      <c r="B26" s="31"/>
      <c r="C26" s="31">
        <v>65</v>
      </c>
      <c r="D26" s="31">
        <v>410</v>
      </c>
    </row>
    <row r="27" spans="1:4" x14ac:dyDescent="0.2">
      <c r="B27" s="32" t="s">
        <v>91</v>
      </c>
      <c r="C27" s="31">
        <v>0</v>
      </c>
      <c r="D27" s="31">
        <v>0</v>
      </c>
    </row>
    <row r="28" spans="1:4" x14ac:dyDescent="0.2">
      <c r="B28" s="31"/>
      <c r="C28" s="31">
        <v>18</v>
      </c>
      <c r="D28" s="31">
        <v>100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Saratoga FAR91.103</vt:lpstr>
      <vt:lpstr>Saratoga Seed Data</vt:lpstr>
    </vt:vector>
  </TitlesOfParts>
  <Company>DST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Jones,Bill</cp:lastModifiedBy>
  <cp:lastPrinted>2010-02-22T04:05:40Z</cp:lastPrinted>
  <dcterms:created xsi:type="dcterms:W3CDTF">2003-04-17T19:00:23Z</dcterms:created>
  <dcterms:modified xsi:type="dcterms:W3CDTF">2019-07-03T03:25:56Z</dcterms:modified>
</cp:coreProperties>
</file>